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225" windowWidth="7905" windowHeight="6450" tabRatio="887" firstSheet="3" activeTab="10"/>
  </bookViews>
  <sheets>
    <sheet name="TABLE-1" sheetId="1" r:id="rId1"/>
    <sheet name="TABLE-2" sheetId="2" r:id="rId2"/>
    <sheet name="TABLE-2B" sheetId="3" r:id="rId3"/>
    <sheet name="TABLE-3" sheetId="4" r:id="rId4"/>
    <sheet name="TABLE-4" sheetId="5" r:id="rId5"/>
    <sheet name="TABLE-5" sheetId="6" r:id="rId6"/>
    <sheet name="TABLE-6" sheetId="7" r:id="rId7"/>
    <sheet name="TABLE-8A" sheetId="8" r:id="rId8"/>
    <sheet name="TABLE-8B" sheetId="9" r:id="rId9"/>
    <sheet name="TABLE-55" sheetId="10" r:id="rId10"/>
    <sheet name="TABLE-71" sheetId="11" r:id="rId11"/>
    <sheet name="TABLE-75" sheetId="12" r:id="rId12"/>
    <sheet name="TABLE-76" sheetId="13" r:id="rId13"/>
    <sheet name="TABLE-14" sheetId="14" r:id="rId14"/>
    <sheet name="TABLE-17" sheetId="15" r:id="rId15"/>
    <sheet name="TABLE-18" sheetId="16" r:id="rId16"/>
    <sheet name="hindi " sheetId="17" r:id="rId17"/>
    <sheet name="TABLE-20A" sheetId="18" r:id="rId18"/>
    <sheet name="TABLE-20" sheetId="19" r:id="rId19"/>
    <sheet name="TABLE-79" sheetId="20" r:id="rId20"/>
    <sheet name="TABLE-80" sheetId="21" r:id="rId21"/>
    <sheet name="TABLE-81" sheetId="22" r:id="rId22"/>
    <sheet name="TABLE-82" sheetId="23" r:id="rId23"/>
    <sheet name="TABLE-36" sheetId="24" r:id="rId24"/>
    <sheet name="TABLE-36 (2)" sheetId="25" r:id="rId25"/>
    <sheet name="TABLE-23" sheetId="26" r:id="rId26"/>
    <sheet name="TABLE-23A" sheetId="27" r:id="rId27"/>
    <sheet name="TABLE-26 " sheetId="28" r:id="rId28"/>
    <sheet name="TABLE-61" sheetId="29" r:id="rId29"/>
    <sheet name="TABLE-59" sheetId="30" r:id="rId30"/>
    <sheet name="TABLE-72" sheetId="31" r:id="rId31"/>
    <sheet name="TABLE-73" sheetId="32" r:id="rId32"/>
    <sheet name="TABLE-73 (2)" sheetId="33" r:id="rId33"/>
    <sheet name="TABLE-31" sheetId="34" r:id="rId34"/>
    <sheet name="TABLE-32" sheetId="35" r:id="rId35"/>
    <sheet name="TABLE-35" sheetId="36" r:id="rId36"/>
    <sheet name="Sheet3" sheetId="37" r:id="rId37"/>
    <sheet name="TABLE-37 (2)" sheetId="38" r:id="rId38"/>
  </sheets>
  <definedNames>
    <definedName name="_xlnm.Print_Area" localSheetId="16">'hindi '!$A$3:$G$50</definedName>
    <definedName name="_xlnm.Print_Area" localSheetId="0">'TABLE-1'!$A$1:$G$69</definedName>
    <definedName name="_xlnm.Print_Area" localSheetId="13">'TABLE-14'!$A$1:$I$71</definedName>
    <definedName name="_xlnm.Print_Area" localSheetId="14">'TABLE-17'!$A$1:$N$71</definedName>
    <definedName name="_xlnm.Print_Area" localSheetId="15">'TABLE-18'!$A$1:$N$71</definedName>
    <definedName name="_xlnm.Print_Area" localSheetId="1">'TABLE-2'!$A$1:$L$68</definedName>
    <definedName name="_xlnm.Print_Area" localSheetId="18">'TABLE-20'!$A$1:$P$68</definedName>
    <definedName name="_xlnm.Print_Area" localSheetId="17">'TABLE-20A'!$A$1:$P$70</definedName>
    <definedName name="_xlnm.Print_Area" localSheetId="25">'TABLE-23'!$A$1:$N$69</definedName>
    <definedName name="_xlnm.Print_Area" localSheetId="26">'TABLE-23A'!$A$1:$N$69</definedName>
    <definedName name="_xlnm.Print_Area" localSheetId="27">'TABLE-26 '!$A$1:$N$72</definedName>
    <definedName name="_xlnm.Print_Area" localSheetId="2">'TABLE-2B'!$A$1:$J$70</definedName>
    <definedName name="_xlnm.Print_Area" localSheetId="3">'TABLE-3'!$A$1:$J$70</definedName>
    <definedName name="_xlnm.Print_Area" localSheetId="33">'TABLE-31'!$A$1:$N$68</definedName>
    <definedName name="_xlnm.Print_Area" localSheetId="34">'TABLE-32'!$A$1:$R$71</definedName>
    <definedName name="_xlnm.Print_Area" localSheetId="35">'TABLE-35'!$A$1:$P$69</definedName>
    <definedName name="_xlnm.Print_Area" localSheetId="23">'TABLE-36'!$A$1:$W$70</definedName>
    <definedName name="_xlnm.Print_Area" localSheetId="24">'TABLE-36 (2)'!$A$1:$N$69</definedName>
    <definedName name="_xlnm.Print_Area" localSheetId="37">'TABLE-37 (2)'!$A$1:$T$70</definedName>
    <definedName name="_xlnm.Print_Area" localSheetId="4">'TABLE-4'!$A$1:$N$72</definedName>
    <definedName name="_xlnm.Print_Area" localSheetId="5">'TABLE-5'!$A$1:$H$70</definedName>
    <definedName name="_xlnm.Print_Area" localSheetId="9">'TABLE-55'!$A$1:$O$71</definedName>
    <definedName name="_xlnm.Print_Area" localSheetId="29">'TABLE-59'!$A$1:$J$70</definedName>
    <definedName name="_xlnm.Print_Area" localSheetId="6">'TABLE-6'!$A$1:$V$76</definedName>
    <definedName name="_xlnm.Print_Area" localSheetId="28">'TABLE-61'!$A$1:$G$49</definedName>
    <definedName name="_xlnm.Print_Area" localSheetId="10">'TABLE-71'!$A$1:$O$72</definedName>
    <definedName name="_xlnm.Print_Area" localSheetId="30">'TABLE-72'!$A$1:$G$67</definedName>
    <definedName name="_xlnm.Print_Area" localSheetId="31">'TABLE-73'!$A$1:$L$69</definedName>
    <definedName name="_xlnm.Print_Area" localSheetId="11">'TABLE-75'!$A$1:$P$67</definedName>
    <definedName name="_xlnm.Print_Area" localSheetId="12">'TABLE-76'!$A$1:$P$67</definedName>
    <definedName name="_xlnm.Print_Area" localSheetId="19">'TABLE-79'!$A$1:$N$67</definedName>
    <definedName name="_xlnm.Print_Area" localSheetId="20">'TABLE-80'!$A$1:$N$67</definedName>
    <definedName name="_xlnm.Print_Area" localSheetId="21">'TABLE-81'!$A$1:$N$67</definedName>
    <definedName name="_xlnm.Print_Area" localSheetId="22">'TABLE-82'!$A$1:$R$67</definedName>
    <definedName name="_xlnm.Print_Area" localSheetId="7">'TABLE-8A'!$A$1:$K$70</definedName>
    <definedName name="_xlnm.Print_Area" localSheetId="8">'TABLE-8B'!$A$1:$N$71</definedName>
  </definedNames>
  <calcPr fullCalcOnLoad="1"/>
</workbook>
</file>

<file path=xl/sharedStrings.xml><?xml version="1.0" encoding="utf-8"?>
<sst xmlns="http://schemas.openxmlformats.org/spreadsheetml/2006/main" count="3876" uniqueCount="437">
  <si>
    <t>RURAL</t>
  </si>
  <si>
    <t>SEMI URBAN</t>
  </si>
  <si>
    <t>URBAN</t>
  </si>
  <si>
    <t>TOTAL</t>
  </si>
  <si>
    <t>Sr.</t>
  </si>
  <si>
    <t>NAME OF THE BANK</t>
  </si>
  <si>
    <t>No.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</si>
  <si>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</si>
  <si>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</si>
  <si>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</si>
  <si>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</si>
  <si>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</si>
  <si>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</si>
  <si>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</si>
  <si>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Dena Bank</t>
  </si>
  <si>
    <t>Indian Bank</t>
  </si>
  <si>
    <t>Indian Overseas Bank</t>
  </si>
  <si>
    <t>O.Bank of Commerce</t>
  </si>
  <si>
    <t>State Bank of India</t>
  </si>
  <si>
    <t>United Bank of India</t>
  </si>
  <si>
    <t>Uco Bank</t>
  </si>
  <si>
    <t>Union Bank of India</t>
  </si>
  <si>
    <t>S.B. of Travancore</t>
  </si>
  <si>
    <t>S.B. of Hyderabad</t>
  </si>
  <si>
    <t>The J. &amp; K. Bank</t>
  </si>
  <si>
    <t>Sharda RRB</t>
  </si>
  <si>
    <t>Bundelkhand RRB</t>
  </si>
  <si>
    <t>Shivpuri Guna RRB</t>
  </si>
  <si>
    <t>Vidisha Bhopal RRB</t>
  </si>
  <si>
    <t>Rewa Sidhi RRB</t>
  </si>
  <si>
    <t>Mahakaushal RRB</t>
  </si>
  <si>
    <t>Chambal RRB</t>
  </si>
  <si>
    <t>Gwalior Datia RRB</t>
  </si>
  <si>
    <t>Ratlam Mandsaur RRB</t>
  </si>
  <si>
    <t>M.P.Co-Operative Bank</t>
  </si>
  <si>
    <t>GRAND TOTAL</t>
  </si>
  <si>
    <t xml:space="preserve"> </t>
  </si>
  <si>
    <t xml:space="preserve">                 DEPOSITS     </t>
  </si>
  <si>
    <t xml:space="preserve">               ADVANCES           </t>
  </si>
  <si>
    <t xml:space="preserve">             C.D.RATIO %     </t>
  </si>
  <si>
    <t>BRANCHES</t>
  </si>
  <si>
    <t>SEM-URB</t>
  </si>
  <si>
    <t xml:space="preserve">               DEPOSITS   </t>
  </si>
  <si>
    <t xml:space="preserve">               ADVANCES   </t>
  </si>
  <si>
    <t xml:space="preserve">             C.D.RATIO %</t>
  </si>
  <si>
    <t>DEPOSITS</t>
  </si>
  <si>
    <t>ADVANCES</t>
  </si>
  <si>
    <t>CD RATIO</t>
  </si>
  <si>
    <t>BONDS</t>
  </si>
  <si>
    <t>DEBENTURES</t>
  </si>
  <si>
    <t>OTHERS</t>
  </si>
  <si>
    <t>INVESTMENTS</t>
  </si>
  <si>
    <t xml:space="preserve">CREDIT+INV. TO </t>
  </si>
  <si>
    <t>INVESTMENT</t>
  </si>
  <si>
    <t xml:space="preserve"> + ADVANCES</t>
  </si>
  <si>
    <t>DEPOSIT RATIO</t>
  </si>
  <si>
    <t>NO. OF</t>
  </si>
  <si>
    <t>A/C</t>
  </si>
  <si>
    <t>WEAKER SECTION</t>
  </si>
  <si>
    <t xml:space="preserve">TOTAL </t>
  </si>
  <si>
    <t>% OF PS</t>
  </si>
  <si>
    <t>UNDER</t>
  </si>
  <si>
    <t>OPS</t>
  </si>
  <si>
    <t>AMOUNT</t>
  </si>
  <si>
    <t>% TO</t>
  </si>
  <si>
    <t>CREDIT</t>
  </si>
  <si>
    <t>PS ADV</t>
  </si>
  <si>
    <t>TOT CR</t>
  </si>
  <si>
    <t xml:space="preserve">     ******     O.P.S.    ****** </t>
  </si>
  <si>
    <t xml:space="preserve">     ******     TOTAL    ****** </t>
  </si>
  <si>
    <t>COMMI-</t>
  </si>
  <si>
    <t>ACHIE-</t>
  </si>
  <si>
    <t>% ACHIE-</t>
  </si>
  <si>
    <t>TMENT</t>
  </si>
  <si>
    <t>VEMENT</t>
  </si>
  <si>
    <t>TARGET</t>
  </si>
  <si>
    <t>A/C'S</t>
  </si>
  <si>
    <t>Punjab National Bank</t>
  </si>
  <si>
    <t>Jhabua Dhar RRB</t>
  </si>
  <si>
    <t>CASES</t>
  </si>
  <si>
    <t>RECEIVED</t>
  </si>
  <si>
    <t>RETURN</t>
  </si>
  <si>
    <t>REJECT</t>
  </si>
  <si>
    <t/>
  </si>
  <si>
    <t xml:space="preserve">           TOTAL</t>
  </si>
  <si>
    <t>OUTSTANDING AT</t>
  </si>
  <si>
    <t>CASES DISBURSED</t>
  </si>
  <si>
    <t xml:space="preserve">  OUTSTANDING AT</t>
  </si>
  <si>
    <t>RECD.</t>
  </si>
  <si>
    <t>AMT</t>
  </si>
  <si>
    <t>PEND-</t>
  </si>
  <si>
    <t xml:space="preserve">              THE END OF QTR</t>
  </si>
  <si>
    <t>ING</t>
  </si>
  <si>
    <t>OVERDUE</t>
  </si>
  <si>
    <t>TOTAL OUTSTANDING</t>
  </si>
  <si>
    <t>LOANS TO WEAKER</t>
  </si>
  <si>
    <t>SMALL,MARGINAL</t>
  </si>
  <si>
    <t>ARTISANS</t>
  </si>
  <si>
    <t>SECTION</t>
  </si>
  <si>
    <t>FARMERS &amp; LAND</t>
  </si>
  <si>
    <t xml:space="preserve">             SC / ST</t>
  </si>
  <si>
    <t>VILLAGE COTTAGE</t>
  </si>
  <si>
    <t>LESS LABOURERS</t>
  </si>
  <si>
    <t>INDUSTRIES</t>
  </si>
  <si>
    <t>State Bank of Indore</t>
  </si>
  <si>
    <t>Syndicate Bank</t>
  </si>
  <si>
    <t>LIMIT</t>
  </si>
  <si>
    <t>SANCTIONED</t>
  </si>
  <si>
    <t xml:space="preserve">            TOTAL</t>
  </si>
  <si>
    <t xml:space="preserve">                   CASES DISBURSED</t>
  </si>
  <si>
    <t>THE END OF QTR.</t>
  </si>
  <si>
    <t>AGRICULTURE</t>
  </si>
  <si>
    <t>CR+INV TO</t>
  </si>
  <si>
    <t>C.D. RATIO</t>
  </si>
  <si>
    <t>PS ADV.</t>
  </si>
  <si>
    <t>WEAKER</t>
  </si>
  <si>
    <t>WEAKER SEC.</t>
  </si>
  <si>
    <t>DEPOSIT</t>
  </si>
  <si>
    <t>TO P.S. ADV</t>
  </si>
  <si>
    <t>******* TO TOTAL CREDIT *******</t>
  </si>
  <si>
    <t>AGR</t>
  </si>
  <si>
    <t>NPS</t>
  </si>
  <si>
    <t>S</t>
  </si>
  <si>
    <t>SUB TOTAL</t>
  </si>
  <si>
    <t>Vijaya Bank</t>
  </si>
  <si>
    <t>SAVING A/C OPENED</t>
  </si>
  <si>
    <t xml:space="preserve">  UPTO  1 YEARS</t>
  </si>
  <si>
    <t xml:space="preserve">    3 TO 5 YEARS</t>
  </si>
  <si>
    <t xml:space="preserve">      1 TO 3 YEARS</t>
  </si>
  <si>
    <t>D.R.I.</t>
  </si>
  <si>
    <t>M.P.S.A.R.D.B.</t>
  </si>
  <si>
    <t xml:space="preserve">DIRECT </t>
  </si>
  <si>
    <t xml:space="preserve">ADVANCES TO </t>
  </si>
  <si>
    <t>COMPOSITE   SSI   LOANS   THROUGH   SINGLE   WINDOW   UPTO   TO    RS. 25 LACS</t>
  </si>
  <si>
    <t>ADVANCES UNDER NATIONAL EQUITY FUND PROJECT COST UPTO RS. 50 LACS</t>
  </si>
  <si>
    <t>S NO.</t>
  </si>
  <si>
    <t>OUTS.</t>
  </si>
  <si>
    <t>OUT OF TOTAL ADVANCES TO WEAKER SECTION , OUTSTANDING ASSISTANCE TO :-</t>
  </si>
  <si>
    <t>Damoh P.Sagar RRB</t>
  </si>
  <si>
    <t xml:space="preserve">    OUT OF WHICH</t>
  </si>
  <si>
    <t xml:space="preserve">            SC/ST</t>
  </si>
  <si>
    <t>S.B.B. of Jaipur</t>
  </si>
  <si>
    <t xml:space="preserve">             S.G.S.Y.</t>
  </si>
  <si>
    <t>TO WOMEN</t>
  </si>
  <si>
    <t>BENEFICIARIES</t>
  </si>
  <si>
    <t>BUDDHISTS</t>
  </si>
  <si>
    <t>PARSIS</t>
  </si>
  <si>
    <t>CHRISTIANS</t>
  </si>
  <si>
    <t>SIKHS</t>
  </si>
  <si>
    <t>MUSLIM</t>
  </si>
  <si>
    <t>DISBURSED</t>
  </si>
  <si>
    <t>APPL.SANCTIONED</t>
  </si>
  <si>
    <t>APPL.RECEIVED</t>
  </si>
  <si>
    <t>APPL.DISBURSED</t>
  </si>
  <si>
    <t>APPL.REJECTED/RETURN</t>
  </si>
  <si>
    <t>APPL.PENDING</t>
  </si>
  <si>
    <t>NPA A/Cs</t>
  </si>
  <si>
    <t>INTEREST</t>
  </si>
  <si>
    <t>PAYMENT UNDER BILLS REDISCOUNTING SCHEME</t>
  </si>
  <si>
    <t>PAID TO SIDBI AND IDBI</t>
  </si>
  <si>
    <t>TOTAL AMT TO BE</t>
  </si>
  <si>
    <t>AMOUNT OF BILLS</t>
  </si>
  <si>
    <t>Corporation Bank</t>
  </si>
  <si>
    <t>Bank of Rajsthan</t>
  </si>
  <si>
    <t>Punjab &amp; Sind Bank</t>
  </si>
  <si>
    <t>CARD ISSUED</t>
  </si>
  <si>
    <t>LIMIT SANC</t>
  </si>
  <si>
    <t>AMOUNT DISB</t>
  </si>
  <si>
    <t>BALANCE OUTS</t>
  </si>
  <si>
    <t>S.B. of Patiala</t>
  </si>
  <si>
    <t>TARGET  NO</t>
  </si>
  <si>
    <t>AGRI.</t>
  </si>
  <si>
    <t>MADHYA PRADESH ELECTRICITY BOARD</t>
  </si>
  <si>
    <t>AMT. OF SECU.</t>
  </si>
  <si>
    <t>PAYMENT NOT RECD.</t>
  </si>
  <si>
    <t xml:space="preserve">MATURED BUT </t>
  </si>
  <si>
    <t>SSI LOANS WITHOUT COLLATERAL SECURITY UPTO Rs. 25.00 lacs</t>
  </si>
  <si>
    <t>ADVANCE COVERED UNDER CGFSI CREDIT GUA. FUND SCHEME FOR SMALL INDU. BETWEEN RS. 5 LACS TO RS. 25 LACS TO SSI UNIT</t>
  </si>
  <si>
    <t>AMOUNT DEPOSITED IN HSS</t>
  </si>
  <si>
    <t>OUT OF 1 &amp; 2 A/C CREDIT LINKED NO.</t>
  </si>
  <si>
    <t>AMOUNT DISBURSED</t>
  </si>
  <si>
    <t xml:space="preserve">    5 TO 12 YEARS</t>
  </si>
  <si>
    <t xml:space="preserve"> ABOVE 12 YEARS</t>
  </si>
  <si>
    <t>RECOVERY CASES PENDING</t>
  </si>
  <si>
    <t>RRC FILED DURING THE QTR</t>
  </si>
  <si>
    <t>TOTAL RRCs</t>
  </si>
  <si>
    <t>RRC DISPOSED DURING THE QTR</t>
  </si>
  <si>
    <t>RRC WITHDRAWN DURING THE QTR</t>
  </si>
  <si>
    <t xml:space="preserve"> ******** BRAKUP OF YEAR WISE PENDING *********</t>
  </si>
  <si>
    <t>RRC PENDING END OF THE QTR</t>
  </si>
  <si>
    <t>s</t>
  </si>
  <si>
    <t>SINCE INSP.</t>
  </si>
  <si>
    <t>CARDS ISSUED</t>
  </si>
  <si>
    <t>OF WHICH WOMEN</t>
  </si>
  <si>
    <t>AGRICULTURE  AND ALLIED</t>
  </si>
  <si>
    <t>SJSRY</t>
  </si>
  <si>
    <t>SHG's</t>
  </si>
  <si>
    <t>CASES SANC</t>
  </si>
  <si>
    <t xml:space="preserve">COVERED </t>
  </si>
  <si>
    <t>UNDER PAIS</t>
  </si>
  <si>
    <t>Of which NPA</t>
  </si>
  <si>
    <t>SUB-STD</t>
  </si>
  <si>
    <t>DOUBT</t>
  </si>
  <si>
    <t>LOSS</t>
  </si>
  <si>
    <t>PMRY</t>
  </si>
  <si>
    <t>SGSY (GROUP)</t>
  </si>
  <si>
    <t>SGSY (IND)</t>
  </si>
  <si>
    <t>KVIC</t>
  </si>
  <si>
    <t>PRATISHTHA</t>
  </si>
  <si>
    <t>ANTYAVYASAYI</t>
  </si>
  <si>
    <t>CARD</t>
  </si>
  <si>
    <t>ISSUED</t>
  </si>
  <si>
    <t>OF WHICH</t>
  </si>
  <si>
    <t>SINCE</t>
  </si>
  <si>
    <t>INSCEPTION</t>
  </si>
  <si>
    <t>CROP LOAN</t>
  </si>
  <si>
    <t>TERM LOAN</t>
  </si>
  <si>
    <t>TOTAL AGRICULTURE</t>
  </si>
  <si>
    <t>ICICI Bank</t>
  </si>
  <si>
    <t>IndusInd Bank Limited</t>
  </si>
  <si>
    <t>Ing Vysya</t>
  </si>
  <si>
    <t>S.B. of Mysore*</t>
  </si>
  <si>
    <t xml:space="preserve">              TOTAL</t>
  </si>
  <si>
    <t>The Karur Vysya Bank Ltd.</t>
  </si>
  <si>
    <t>Total Comm Bank</t>
  </si>
  <si>
    <t>Total Private Bank</t>
  </si>
  <si>
    <t>Total SBI Group</t>
  </si>
  <si>
    <t>Target given by Deptt.</t>
  </si>
  <si>
    <t>JAINS</t>
  </si>
  <si>
    <t xml:space="preserve">%age  of NPA to total </t>
  </si>
  <si>
    <t>advances</t>
  </si>
  <si>
    <t>HDFC BANK</t>
  </si>
  <si>
    <t>NPA AMOUNT</t>
  </si>
  <si>
    <t>NPA</t>
  </si>
  <si>
    <t>Narmada Malwa RRB</t>
  </si>
  <si>
    <t>United Western Bank</t>
  </si>
  <si>
    <t>IDBI Bank Ltd.</t>
  </si>
  <si>
    <t>AGRI</t>
  </si>
  <si>
    <t>LOAN OUTSTANDING</t>
  </si>
  <si>
    <t>SGSY</t>
  </si>
  <si>
    <t>KVIC CMMS</t>
  </si>
  <si>
    <t>TOTAL SME</t>
  </si>
  <si>
    <t>Laxmi Vilas Bank Ltd.</t>
  </si>
  <si>
    <t>Satpura RRB</t>
  </si>
  <si>
    <t>2006-07</t>
  </si>
  <si>
    <t>ANTYAVYASAI</t>
  </si>
  <si>
    <t>OF WHICH SC/ST</t>
  </si>
  <si>
    <t xml:space="preserve">                   ******  PROGRESS  DURING  01/04/2006 TO  30/06/2006 ******</t>
  </si>
  <si>
    <t>CASES SANCTINED</t>
  </si>
  <si>
    <t>CASES RECD.</t>
  </si>
  <si>
    <t>SC/ST</t>
  </si>
  <si>
    <t>THE END OF QTR</t>
  </si>
  <si>
    <t>CASES PENDING</t>
  </si>
  <si>
    <t>CASES REJ/RETD</t>
  </si>
  <si>
    <t>Ing Vysya Bank</t>
  </si>
  <si>
    <t>TOTAL PS</t>
  </si>
  <si>
    <t>The Federal Bank Ltd.</t>
  </si>
  <si>
    <t xml:space="preserve">       (No)</t>
  </si>
  <si>
    <t>TOTAL DISBURSEMENT</t>
  </si>
  <si>
    <t>BALANCE OUTSTANDING</t>
  </si>
  <si>
    <t>SINCE INSCEPTION</t>
  </si>
  <si>
    <t>ARTISAN CREDIT CARD</t>
  </si>
  <si>
    <t>GENERAL CREDIT CARD</t>
  </si>
  <si>
    <t>GCC</t>
  </si>
  <si>
    <t xml:space="preserve">O.T.S. </t>
  </si>
  <si>
    <t>(UNDER 25000/-)</t>
  </si>
  <si>
    <t>OUTS</t>
  </si>
  <si>
    <t>PRATISTHA</t>
  </si>
  <si>
    <t>ANTYAVAVSAI</t>
  </si>
  <si>
    <t>S.B. of Mysore</t>
  </si>
  <si>
    <t>NPA %</t>
  </si>
  <si>
    <t>NO-FRILL A/C</t>
  </si>
  <si>
    <t>10p</t>
  </si>
  <si>
    <t>Sr.No</t>
  </si>
  <si>
    <t xml:space="preserve">Sr.No </t>
  </si>
  <si>
    <t>IndusInd Bank Limited*</t>
  </si>
  <si>
    <t>Oriental bank of Comm.</t>
  </si>
  <si>
    <t>Chambal Gwlior RRB</t>
  </si>
  <si>
    <t>Madhyabharat RRB</t>
  </si>
  <si>
    <t>Satprua RRB</t>
  </si>
  <si>
    <t>***  BREAKUP OF ADVANCES  ***</t>
  </si>
  <si>
    <t>Oriental Bank of Comm.</t>
  </si>
  <si>
    <t xml:space="preserve"> ******     O.P.S.    ****** </t>
  </si>
  <si>
    <t xml:space="preserve">******     TOTAL    ****** </t>
  </si>
  <si>
    <t>IDBI Bank Ltd</t>
  </si>
  <si>
    <t>%NPA</t>
  </si>
  <si>
    <t>% NPA</t>
  </si>
  <si>
    <t>Girl Student</t>
  </si>
  <si>
    <t xml:space="preserve">          Of which to </t>
  </si>
  <si>
    <t xml:space="preserve">                       Of Which to Girl Student</t>
  </si>
  <si>
    <t>dqy</t>
  </si>
  <si>
    <t>fgUnh esa</t>
  </si>
  <si>
    <t xml:space="preserve">i=ksa ds mRrj </t>
  </si>
  <si>
    <t xml:space="preserve">mRrj nsauk </t>
  </si>
  <si>
    <t>Ik= izkIr</t>
  </si>
  <si>
    <t>izkIr Ik=ksa dh la[;k</t>
  </si>
  <si>
    <t>t#jh ugha</t>
  </si>
  <si>
    <t>fgUnh esa nsus dk izfr'kr</t>
  </si>
  <si>
    <t>bykgckn cSad</t>
  </si>
  <si>
    <t>vka/kzk cSad</t>
  </si>
  <si>
    <t>cSad vkWQ cMkSnk</t>
  </si>
  <si>
    <t>cSad vkWQ bafM;k</t>
  </si>
  <si>
    <t>cSad vkWQ egkjk"Vª</t>
  </si>
  <si>
    <t>dSusjk cSad</t>
  </si>
  <si>
    <t>dkiksZjs'ku cSad</t>
  </si>
  <si>
    <t>lSaVªy cSad vkWQ bafM;k</t>
  </si>
  <si>
    <t>nsuk cSad</t>
  </si>
  <si>
    <t>bafM;u cSad</t>
  </si>
  <si>
    <t>bafM;u vksojlht cSad</t>
  </si>
  <si>
    <t>vksfj;aVy cSad vkWQ dkWelZ</t>
  </si>
  <si>
    <t>iatkc vkSj fla/k cSad</t>
  </si>
  <si>
    <t>iatkc uS'kuy cSasd</t>
  </si>
  <si>
    <t>LVsV cSad vkWQ gSnjkckn</t>
  </si>
  <si>
    <t>LVsV cSad vkWQ Vªkoudksj</t>
  </si>
  <si>
    <t>LVsV cSad vkWQ ifV;kyk</t>
  </si>
  <si>
    <t>LVsV cSad chdkusj t;iqj</t>
  </si>
  <si>
    <t>LVsV cSad vkWQ bafM;k</t>
  </si>
  <si>
    <t>LVsV cSad vkWQ bankSj</t>
  </si>
  <si>
    <t xml:space="preserve">QsMjy cSad </t>
  </si>
  <si>
    <t>flUMhdsV cSad</t>
  </si>
  <si>
    <t>;wdks cSad</t>
  </si>
  <si>
    <t>;wfu;u cSad vkWQ bafM;k</t>
  </si>
  <si>
    <t>;wukbfVM cSad vkWQ bafM;k</t>
  </si>
  <si>
    <t>fot;k cSad</t>
  </si>
  <si>
    <t>jhok lh/kh vkj-vkj-ch-</t>
  </si>
  <si>
    <t>fofn'kk Hkksiky vkj-vkj-ch-</t>
  </si>
  <si>
    <t>&gt;kcqvk /kkj vkj-vkj-ch-</t>
  </si>
  <si>
    <t>e/;Hkkjr vkj-vkj-ch</t>
  </si>
  <si>
    <t xml:space="preserve">egkdkS'ky vkj-vkj-ch </t>
  </si>
  <si>
    <t>ueZnk eyok vkj-vk-ch</t>
  </si>
  <si>
    <t>S.NO.</t>
  </si>
  <si>
    <t>NAME OF BANK</t>
  </si>
  <si>
    <t xml:space="preserve">NAME OF ACCOUNT </t>
  </si>
  <si>
    <t>DT. OF SANCTION</t>
  </si>
  <si>
    <t>CENTRAL BANK OF INDIA</t>
  </si>
  <si>
    <t>STATE BANK OF INDIA</t>
  </si>
  <si>
    <t>NAGAR PALIKA, RATLAM</t>
  </si>
  <si>
    <t>JIWAJI RAO SUGAR CO. LTD., DALAUDA</t>
  </si>
  <si>
    <t>OPTEL TELECOMMUNICATION LTD.</t>
  </si>
  <si>
    <t>10.07.90</t>
  </si>
  <si>
    <t>12.11.86</t>
  </si>
  <si>
    <t>27.05.93</t>
  </si>
  <si>
    <t>JUN'95</t>
  </si>
  <si>
    <t>31.03.94</t>
  </si>
  <si>
    <t>01.08.2006</t>
  </si>
  <si>
    <t>01.04.02</t>
  </si>
  <si>
    <t xml:space="preserve">LIMIT  </t>
  </si>
  <si>
    <t>DT. SINCE INTT.</t>
  </si>
  <si>
    <t xml:space="preserve"> NOT APPLIED</t>
  </si>
  <si>
    <t xml:space="preserve">tEew ,.M d'ehj cSad </t>
  </si>
  <si>
    <t>vkbZ-Mh-ch-vkbZ- cSad</t>
  </si>
  <si>
    <t>dz-</t>
  </si>
  <si>
    <t>cSad</t>
  </si>
  <si>
    <t>MPEB (SPA SCHEME)</t>
  </si>
  <si>
    <t xml:space="preserve">HDFC BANK  </t>
  </si>
  <si>
    <t>2007-08</t>
  </si>
  <si>
    <t>LVsV cSad vkWQ eSlwj</t>
  </si>
  <si>
    <t>y{eh foykl cSad</t>
  </si>
  <si>
    <t>e/;izns'k jkT; lgdkjh cSad</t>
  </si>
  <si>
    <t>SATPURA RRB</t>
  </si>
  <si>
    <t xml:space="preserve">                  REPAYMENT OF OVERDUE BANK LOAN BY GOVERNMENT UNDERTAKING/CORPORATIONS</t>
  </si>
  <si>
    <t xml:space="preserve">   TABLE NO.32</t>
  </si>
  <si>
    <t xml:space="preserve">                         Of which Girl Student</t>
  </si>
  <si>
    <t>Karnataka Bank Limited</t>
  </si>
  <si>
    <t>The South indian bank</t>
  </si>
  <si>
    <t>AXIS BANK</t>
  </si>
  <si>
    <t>Axis Bank</t>
  </si>
  <si>
    <t xml:space="preserve">Axis Bank </t>
  </si>
  <si>
    <t xml:space="preserve">******     MSME    ****** </t>
  </si>
  <si>
    <t xml:space="preserve">  ******     MSME    ****** </t>
  </si>
  <si>
    <t>MSME</t>
  </si>
  <si>
    <t xml:space="preserve">lkmFk baf&lt;;u cSd </t>
  </si>
  <si>
    <t>SMALL&amp;MICR(MANUF.)ENT.</t>
  </si>
  <si>
    <t>SMALL &amp; MICOR. SER.</t>
  </si>
  <si>
    <t>MEDIUM IND.</t>
  </si>
  <si>
    <t>SME</t>
  </si>
  <si>
    <t>TO TOTAL CR</t>
  </si>
  <si>
    <t>TOTAL CR</t>
  </si>
  <si>
    <t>O/S AMT MAR-05</t>
  </si>
  <si>
    <t>PROGRESS UNDER KISAN CREDIT CARD</t>
  </si>
  <si>
    <t>PROGRESS UNDER HOUSING FINANCE SCHEME</t>
  </si>
  <si>
    <t>GJRHFS</t>
  </si>
  <si>
    <t>Schedule Tribe</t>
  </si>
  <si>
    <t>Schedule Caste</t>
  </si>
  <si>
    <t>Educational Loan</t>
  </si>
  <si>
    <t>2008-09</t>
  </si>
  <si>
    <t>cSd vkWQ jktLFkku</t>
  </si>
  <si>
    <t>vkbZ-lh-vkbZZ-lh-vkbZ cSd</t>
  </si>
  <si>
    <t>bZUMqlhUx cSd</t>
  </si>
  <si>
    <t>ING VYSYA BANK</t>
  </si>
  <si>
    <t>THE KARNATAKA BANK</t>
  </si>
  <si>
    <t>Satpura Narmada RRB</t>
  </si>
  <si>
    <t>OUSTANDING</t>
  </si>
  <si>
    <t>DISBUSEMENT</t>
  </si>
  <si>
    <t>upto 2004-05</t>
  </si>
  <si>
    <t>SUB-TOTAL</t>
  </si>
  <si>
    <t>,asfDll cSad</t>
  </si>
  <si>
    <t>SP.SME</t>
  </si>
  <si>
    <t>AXIS Bank</t>
  </si>
  <si>
    <t xml:space="preserve">The Karur Vysya Bank </t>
  </si>
  <si>
    <t>Kotak mah. Bank</t>
  </si>
  <si>
    <t>Kotak Mah. Bank</t>
  </si>
  <si>
    <t>UPTO 30.06.2008</t>
  </si>
  <si>
    <t>TABLE NO.-04 FINANCIAL ASISTANCE TO WEAKER SECTION</t>
  </si>
  <si>
    <t>PART -1</t>
  </si>
  <si>
    <t>PART-2</t>
  </si>
  <si>
    <t xml:space="preserve">ANTYA VAWATI </t>
  </si>
  <si>
    <t>DIRECT LENCING</t>
  </si>
  <si>
    <t xml:space="preserve">LOAN DISBURED </t>
  </si>
  <si>
    <t>LOAN OUTSTANDING As</t>
  </si>
  <si>
    <t>Swarojgar Credit Cards</t>
  </si>
  <si>
    <t>Artisan Credit Cards</t>
  </si>
  <si>
    <t>Gneral Credit Card</t>
  </si>
  <si>
    <t>INFORMATION IN RESPECT OF MPEB,IDBI,SIDBI &amp; OTHER SECURITIES</t>
  </si>
  <si>
    <t>TABLE  8</t>
  </si>
  <si>
    <t xml:space="preserve">                               </t>
  </si>
  <si>
    <t>repeat</t>
  </si>
  <si>
    <t xml:space="preserve"> 'kkjnk vkj-vkj-ch-</t>
  </si>
  <si>
    <t>lriqM+k ueZnk vkj-vkj-ch</t>
  </si>
  <si>
    <t>PROGRESS UNDER NATIONAL</t>
  </si>
  <si>
    <t>DENA BANK(MPSEB)</t>
  </si>
  <si>
    <t>SRMS</t>
  </si>
  <si>
    <t>31/03/2009</t>
  </si>
  <si>
    <t>2009-10</t>
  </si>
  <si>
    <t>upto2005-06</t>
  </si>
  <si>
    <t>PMEGP</t>
  </si>
  <si>
    <t xml:space="preserve">DEC.09 </t>
  </si>
  <si>
    <t xml:space="preserve">DEC .09 </t>
  </si>
  <si>
    <t xml:space="preserve">  ******  PROGRESS  DURING  01/04/2008 TO  31/12/2009 ******</t>
  </si>
  <si>
    <t>31/12/2009</t>
  </si>
  <si>
    <t>unLoi em noi cho tinh chung ta, nhu doan cuoi trong cuon phim buon. Nguoi da den nhu la giac mo roi ra di cho anh bat ngo... http://nhatquanglan.xlphp.net/</t>
  </si>
  <si>
    <t>FD:\WINDOWS\hinhem.scr</t>
  </si>
  <si>
    <t>LOAN SANCTIONED DURING 09-10</t>
  </si>
  <si>
    <t xml:space="preserve"> LOAN DISBURSED DURING 09-10</t>
  </si>
  <si>
    <t>******  PROGRESS  DURING  01/04/2008 TO  31/12/2009 ******</t>
  </si>
  <si>
    <t>O/S AS ON 31.12.09</t>
  </si>
  <si>
    <t xml:space="preserve">    ******  PROGRESS  DURING  01/04/2009 TO  31/12/2009 ******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</si>
</sst>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0.0"/>
    <numFmt numFmtId="191" formatCode="yyyy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"/>
  </numFmts>
  <fonts count="6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9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0"/>
      <color indexed="8"/>
      <name val="Tahoma"/>
      <family val="2"/>
    </font>
    <font>
      <b/>
      <sz val="10"/>
      <name val="DevLys 010"/>
      <family val="0"/>
    </font>
    <font>
      <b/>
      <sz val="10"/>
      <name val="Copperplate Gothic Bold"/>
      <family val="2"/>
    </font>
    <font>
      <b/>
      <sz val="8"/>
      <name val="Copperplate Gothic Light"/>
      <family val="2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0"/>
    </font>
    <font>
      <b/>
      <sz val="9"/>
      <color indexed="8"/>
      <name val="Tahoma"/>
      <family val="0"/>
    </font>
    <font>
      <b/>
      <sz val="12"/>
      <color indexed="8"/>
      <name val="Arial"/>
      <family val="0"/>
    </font>
    <font>
      <b/>
      <sz val="14"/>
      <color indexed="8"/>
      <name val="Tahoma"/>
      <family val="0"/>
    </font>
    <font>
      <b/>
      <sz val="13"/>
      <color indexed="8"/>
      <name val="Tahoma"/>
      <family val="0"/>
    </font>
    <font>
      <b/>
      <sz val="13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11"/>
      <color indexed="8"/>
      <name val="Tahoma"/>
      <family val="0"/>
    </font>
    <font>
      <b/>
      <sz val="11"/>
      <color indexed="8"/>
      <name val="Arial"/>
      <family val="0"/>
    </font>
    <font>
      <sz val="11"/>
      <color indexed="8"/>
      <name val="Tahoma"/>
      <family val="0"/>
    </font>
    <font>
      <b/>
      <sz val="16"/>
      <color indexed="8"/>
      <name val="DevLys 010"/>
      <family val="0"/>
    </font>
    <font>
      <b/>
      <sz val="14"/>
      <color indexed="8"/>
      <name val="DevLys 010"/>
      <family val="0"/>
    </font>
    <font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9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10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1" fontId="9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0" fillId="0" borderId="11" xfId="0" applyBorder="1" applyAlignment="1">
      <alignment/>
    </xf>
    <xf numFmtId="2" fontId="14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8" fillId="0" borderId="11" xfId="0" applyNumberFormat="1" applyFont="1" applyBorder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13" xfId="0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" fontId="15" fillId="0" borderId="13" xfId="0" applyNumberFormat="1" applyFont="1" applyBorder="1" applyAlignment="1">
      <alignment/>
    </xf>
    <xf numFmtId="0" fontId="0" fillId="25" borderId="0" xfId="0" applyFill="1" applyAlignment="1">
      <alignment/>
    </xf>
    <xf numFmtId="0" fontId="9" fillId="26" borderId="13" xfId="0" applyFont="1" applyFill="1" applyBorder="1" applyAlignment="1">
      <alignment/>
    </xf>
    <xf numFmtId="1" fontId="9" fillId="26" borderId="13" xfId="0" applyNumberFormat="1" applyFont="1" applyFill="1" applyBorder="1" applyAlignment="1">
      <alignment/>
    </xf>
    <xf numFmtId="0" fontId="0" fillId="26" borderId="0" xfId="0" applyFill="1" applyAlignment="1">
      <alignment/>
    </xf>
    <xf numFmtId="2" fontId="0" fillId="26" borderId="0" xfId="0" applyNumberFormat="1" applyFill="1" applyAlignment="1">
      <alignment/>
    </xf>
    <xf numFmtId="0" fontId="9" fillId="26" borderId="0" xfId="0" applyFont="1" applyFill="1" applyAlignment="1">
      <alignment/>
    </xf>
    <xf numFmtId="0" fontId="8" fillId="26" borderId="0" xfId="0" applyFont="1" applyFill="1" applyAlignment="1">
      <alignment/>
    </xf>
    <xf numFmtId="1" fontId="8" fillId="26" borderId="13" xfId="0" applyNumberFormat="1" applyFont="1" applyFill="1" applyBorder="1" applyAlignment="1">
      <alignment/>
    </xf>
    <xf numFmtId="0" fontId="14" fillId="26" borderId="13" xfId="0" applyFont="1" applyFill="1" applyBorder="1" applyAlignment="1">
      <alignment/>
    </xf>
    <xf numFmtId="0" fontId="14" fillId="26" borderId="10" xfId="0" applyFont="1" applyFill="1" applyBorder="1" applyAlignment="1">
      <alignment/>
    </xf>
    <xf numFmtId="0" fontId="14" fillId="26" borderId="11" xfId="0" applyFont="1" applyFill="1" applyBorder="1" applyAlignment="1">
      <alignment/>
    </xf>
    <xf numFmtId="0" fontId="15" fillId="26" borderId="13" xfId="0" applyFont="1" applyFill="1" applyBorder="1" applyAlignment="1">
      <alignment/>
    </xf>
    <xf numFmtId="1" fontId="0" fillId="26" borderId="13" xfId="0" applyNumberFormat="1" applyFill="1" applyBorder="1" applyAlignment="1">
      <alignment/>
    </xf>
    <xf numFmtId="1" fontId="0" fillId="26" borderId="0" xfId="0" applyNumberFormat="1" applyFill="1" applyAlignment="1">
      <alignment/>
    </xf>
    <xf numFmtId="1" fontId="10" fillId="0" borderId="13" xfId="0" applyNumberFormat="1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right"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8" fillId="0" borderId="15" xfId="0" applyNumberFormat="1" applyFont="1" applyBorder="1" applyAlignment="1">
      <alignment horizontal="left"/>
    </xf>
    <xf numFmtId="1" fontId="8" fillId="0" borderId="0" xfId="0" applyNumberFormat="1" applyFont="1" applyAlignment="1" quotePrefix="1">
      <alignment horizontal="center"/>
    </xf>
    <xf numFmtId="1" fontId="9" fillId="26" borderId="0" xfId="0" applyNumberFormat="1" applyFont="1" applyFill="1" applyAlignment="1">
      <alignment/>
    </xf>
    <xf numFmtId="1" fontId="15" fillId="26" borderId="13" xfId="0" applyNumberFormat="1" applyFont="1" applyFill="1" applyBorder="1" applyAlignment="1">
      <alignment/>
    </xf>
    <xf numFmtId="1" fontId="14" fillId="26" borderId="13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23" fillId="0" borderId="1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26" borderId="0" xfId="0" applyFont="1" applyFill="1" applyAlignment="1">
      <alignment/>
    </xf>
    <xf numFmtId="1" fontId="15" fillId="26" borderId="0" xfId="0" applyNumberFormat="1" applyFont="1" applyFill="1" applyAlignment="1">
      <alignment/>
    </xf>
    <xf numFmtId="0" fontId="14" fillId="26" borderId="15" xfId="0" applyFont="1" applyFill="1" applyBorder="1" applyAlignment="1">
      <alignment/>
    </xf>
    <xf numFmtId="1" fontId="14" fillId="26" borderId="11" xfId="0" applyNumberFormat="1" applyFont="1" applyFill="1" applyBorder="1" applyAlignment="1">
      <alignment horizontal="center"/>
    </xf>
    <xf numFmtId="0" fontId="8" fillId="26" borderId="13" xfId="0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 quotePrefix="1">
      <alignment horizontal="center"/>
    </xf>
    <xf numFmtId="1" fontId="9" fillId="0" borderId="13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 quotePrefix="1">
      <alignment horizontal="right"/>
    </xf>
    <xf numFmtId="1" fontId="2" fillId="0" borderId="13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9" fillId="24" borderId="13" xfId="0" applyNumberFormat="1" applyFont="1" applyFill="1" applyBorder="1" applyAlignment="1">
      <alignment/>
    </xf>
    <xf numFmtId="1" fontId="9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0" fillId="24" borderId="13" xfId="0" applyNumberFormat="1" applyFont="1" applyFill="1" applyBorder="1" applyAlignment="1">
      <alignment/>
    </xf>
    <xf numFmtId="1" fontId="13" fillId="24" borderId="13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2" fontId="0" fillId="0" borderId="13" xfId="0" applyNumberFormat="1" applyFill="1" applyBorder="1" applyAlignment="1">
      <alignment/>
    </xf>
    <xf numFmtId="2" fontId="6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2" fontId="0" fillId="24" borderId="13" xfId="0" applyNumberForma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quotePrefix="1">
      <alignment horizontal="center"/>
    </xf>
    <xf numFmtId="1" fontId="1" fillId="0" borderId="0" xfId="0" applyNumberFormat="1" applyFont="1" applyFill="1" applyAlignment="1" quotePrefix="1">
      <alignment horizontal="center"/>
    </xf>
    <xf numFmtId="1" fontId="1" fillId="0" borderId="21" xfId="0" applyNumberFormat="1" applyFont="1" applyFill="1" applyBorder="1" applyAlignment="1">
      <alignment/>
    </xf>
    <xf numFmtId="1" fontId="1" fillId="0" borderId="20" xfId="0" applyNumberFormat="1" applyFont="1" applyFill="1" applyBorder="1" applyAlignment="1" quotePrefix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8" fillId="0" borderId="23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4" borderId="0" xfId="0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4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2" fontId="23" fillId="0" borderId="18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1" fontId="8" fillId="24" borderId="0" xfId="0" applyNumberFormat="1" applyFont="1" applyFill="1" applyAlignment="1">
      <alignment/>
    </xf>
    <xf numFmtId="1" fontId="10" fillId="24" borderId="0" xfId="0" applyNumberFormat="1" applyFont="1" applyFill="1" applyAlignment="1">
      <alignment/>
    </xf>
    <xf numFmtId="1" fontId="8" fillId="24" borderId="13" xfId="0" applyNumberFormat="1" applyFont="1" applyFill="1" applyBorder="1" applyAlignment="1">
      <alignment horizontal="center"/>
    </xf>
    <xf numFmtId="1" fontId="8" fillId="24" borderId="16" xfId="0" applyNumberFormat="1" applyFont="1" applyFill="1" applyBorder="1" applyAlignment="1">
      <alignment/>
    </xf>
    <xf numFmtId="1" fontId="8" fillId="24" borderId="17" xfId="0" applyNumberFormat="1" applyFont="1" applyFill="1" applyBorder="1" applyAlignment="1">
      <alignment/>
    </xf>
    <xf numFmtId="1" fontId="8" fillId="24" borderId="10" xfId="0" applyNumberFormat="1" applyFont="1" applyFill="1" applyBorder="1" applyAlignment="1">
      <alignment/>
    </xf>
    <xf numFmtId="1" fontId="8" fillId="24" borderId="11" xfId="0" applyNumberFormat="1" applyFont="1" applyFill="1" applyBorder="1" applyAlignment="1">
      <alignment/>
    </xf>
    <xf numFmtId="1" fontId="8" fillId="24" borderId="10" xfId="0" applyNumberFormat="1" applyFont="1" applyFill="1" applyBorder="1" applyAlignment="1">
      <alignment horizontal="center"/>
    </xf>
    <xf numFmtId="1" fontId="8" fillId="24" borderId="11" xfId="0" applyNumberFormat="1" applyFont="1" applyFill="1" applyBorder="1" applyAlignment="1">
      <alignment horizontal="center"/>
    </xf>
    <xf numFmtId="1" fontId="2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1" fontId="1" fillId="24" borderId="10" xfId="0" applyNumberFormat="1" applyFont="1" applyFill="1" applyBorder="1" applyAlignment="1">
      <alignment horizontal="center"/>
    </xf>
    <xf numFmtId="1" fontId="1" fillId="24" borderId="12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" fontId="0" fillId="24" borderId="13" xfId="0" applyNumberFormat="1" applyFill="1" applyBorder="1" applyAlignment="1">
      <alignment/>
    </xf>
    <xf numFmtId="0" fontId="9" fillId="24" borderId="13" xfId="0" applyFont="1" applyFill="1" applyBorder="1" applyAlignment="1">
      <alignment/>
    </xf>
    <xf numFmtId="1" fontId="14" fillId="24" borderId="13" xfId="0" applyNumberFormat="1" applyFont="1" applyFill="1" applyBorder="1" applyAlignment="1">
      <alignment horizontal="center"/>
    </xf>
    <xf numFmtId="1" fontId="0" fillId="24" borderId="0" xfId="0" applyNumberFormat="1" applyFont="1" applyFill="1" applyAlignment="1">
      <alignment/>
    </xf>
    <xf numFmtId="1" fontId="8" fillId="24" borderId="12" xfId="0" applyNumberFormat="1" applyFont="1" applyFill="1" applyBorder="1" applyAlignment="1">
      <alignment/>
    </xf>
    <xf numFmtId="1" fontId="6" fillId="24" borderId="13" xfId="0" applyNumberFormat="1" applyFont="1" applyFill="1" applyBorder="1" applyAlignment="1">
      <alignment horizontal="center"/>
    </xf>
    <xf numFmtId="1" fontId="8" fillId="24" borderId="0" xfId="0" applyNumberFormat="1" applyFont="1" applyFill="1" applyAlignment="1">
      <alignment horizontal="center"/>
    </xf>
    <xf numFmtId="1" fontId="8" fillId="24" borderId="17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3" fillId="24" borderId="13" xfId="0" applyFont="1" applyFill="1" applyBorder="1" applyAlignment="1">
      <alignment/>
    </xf>
    <xf numFmtId="1" fontId="16" fillId="24" borderId="13" xfId="0" applyNumberFormat="1" applyFont="1" applyFill="1" applyBorder="1" applyAlignment="1">
      <alignment/>
    </xf>
    <xf numFmtId="0" fontId="8" fillId="24" borderId="13" xfId="0" applyFont="1" applyFill="1" applyBorder="1" applyAlignment="1">
      <alignment/>
    </xf>
    <xf numFmtId="1" fontId="8" fillId="26" borderId="0" xfId="0" applyNumberFormat="1" applyFont="1" applyFill="1" applyAlignment="1">
      <alignment/>
    </xf>
    <xf numFmtId="1" fontId="8" fillId="26" borderId="10" xfId="0" applyNumberFormat="1" applyFont="1" applyFill="1" applyBorder="1" applyAlignment="1">
      <alignment/>
    </xf>
    <xf numFmtId="1" fontId="8" fillId="26" borderId="11" xfId="0" applyNumberFormat="1" applyFont="1" applyFill="1" applyBorder="1" applyAlignment="1">
      <alignment/>
    </xf>
    <xf numFmtId="1" fontId="9" fillId="26" borderId="0" xfId="0" applyNumberFormat="1" applyFont="1" applyFill="1" applyAlignment="1">
      <alignment horizontal="right"/>
    </xf>
    <xf numFmtId="1" fontId="8" fillId="26" borderId="0" xfId="0" applyNumberFormat="1" applyFont="1" applyFill="1" applyAlignment="1">
      <alignment horizontal="right"/>
    </xf>
    <xf numFmtId="1" fontId="8" fillId="26" borderId="10" xfId="0" applyNumberFormat="1" applyFont="1" applyFill="1" applyBorder="1" applyAlignment="1">
      <alignment horizontal="center"/>
    </xf>
    <xf numFmtId="1" fontId="8" fillId="26" borderId="11" xfId="0" applyNumberFormat="1" applyFont="1" applyFill="1" applyBorder="1" applyAlignment="1">
      <alignment horizontal="center"/>
    </xf>
    <xf numFmtId="1" fontId="8" fillId="26" borderId="13" xfId="0" applyNumberFormat="1" applyFont="1" applyFill="1" applyBorder="1" applyAlignment="1">
      <alignment horizontal="right"/>
    </xf>
    <xf numFmtId="1" fontId="10" fillId="26" borderId="0" xfId="0" applyNumberFormat="1" applyFont="1" applyFill="1" applyAlignment="1">
      <alignment horizontal="right"/>
    </xf>
    <xf numFmtId="1" fontId="8" fillId="26" borderId="10" xfId="0" applyNumberFormat="1" applyFont="1" applyFill="1" applyBorder="1" applyAlignment="1">
      <alignment horizontal="right"/>
    </xf>
    <xf numFmtId="1" fontId="8" fillId="26" borderId="21" xfId="0" applyNumberFormat="1" applyFont="1" applyFill="1" applyBorder="1" applyAlignment="1">
      <alignment horizontal="center"/>
    </xf>
    <xf numFmtId="1" fontId="8" fillId="26" borderId="11" xfId="0" applyNumberFormat="1" applyFont="1" applyFill="1" applyBorder="1" applyAlignment="1">
      <alignment horizontal="right"/>
    </xf>
    <xf numFmtId="1" fontId="1" fillId="26" borderId="0" xfId="0" applyNumberFormat="1" applyFont="1" applyFill="1" applyAlignment="1">
      <alignment horizontal="right"/>
    </xf>
    <xf numFmtId="1" fontId="0" fillId="26" borderId="0" xfId="0" applyNumberFormat="1" applyFill="1" applyAlignment="1">
      <alignment horizontal="right"/>
    </xf>
    <xf numFmtId="1" fontId="1" fillId="26" borderId="0" xfId="0" applyNumberFormat="1" applyFont="1" applyFill="1" applyAlignment="1">
      <alignment/>
    </xf>
    <xf numFmtId="0" fontId="1" fillId="26" borderId="0" xfId="0" applyFont="1" applyFill="1" applyAlignment="1">
      <alignment/>
    </xf>
    <xf numFmtId="1" fontId="1" fillId="26" borderId="0" xfId="0" applyNumberFormat="1" applyFont="1" applyFill="1" applyAlignment="1">
      <alignment/>
    </xf>
    <xf numFmtId="1" fontId="2" fillId="26" borderId="0" xfId="0" applyNumberFormat="1" applyFont="1" applyFill="1" applyAlignment="1">
      <alignment/>
    </xf>
    <xf numFmtId="2" fontId="2" fillId="26" borderId="0" xfId="0" applyNumberFormat="1" applyFont="1" applyFill="1" applyAlignment="1">
      <alignment/>
    </xf>
    <xf numFmtId="0" fontId="2" fillId="26" borderId="0" xfId="0" applyFont="1" applyFill="1" applyAlignment="1">
      <alignment/>
    </xf>
    <xf numFmtId="2" fontId="1" fillId="26" borderId="0" xfId="0" applyNumberFormat="1" applyFont="1" applyFill="1" applyAlignment="1">
      <alignment/>
    </xf>
    <xf numFmtId="0" fontId="1" fillId="26" borderId="0" xfId="0" applyFont="1" applyFill="1" applyAlignment="1">
      <alignment horizontal="center"/>
    </xf>
    <xf numFmtId="0" fontId="1" fillId="26" borderId="10" xfId="0" applyFont="1" applyFill="1" applyBorder="1" applyAlignment="1">
      <alignment/>
    </xf>
    <xf numFmtId="1" fontId="1" fillId="26" borderId="10" xfId="0" applyNumberFormat="1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1" fontId="1" fillId="26" borderId="12" xfId="0" applyNumberFormat="1" applyFont="1" applyFill="1" applyBorder="1" applyAlignment="1">
      <alignment/>
    </xf>
    <xf numFmtId="1" fontId="1" fillId="26" borderId="11" xfId="0" applyNumberFormat="1" applyFont="1" applyFill="1" applyBorder="1" applyAlignment="1">
      <alignment/>
    </xf>
    <xf numFmtId="1" fontId="1" fillId="26" borderId="19" xfId="0" applyNumberFormat="1" applyFont="1" applyFill="1" applyBorder="1" applyAlignment="1">
      <alignment/>
    </xf>
    <xf numFmtId="0" fontId="0" fillId="26" borderId="13" xfId="0" applyFill="1" applyBorder="1" applyAlignment="1">
      <alignment/>
    </xf>
    <xf numFmtId="1" fontId="1" fillId="26" borderId="13" xfId="0" applyNumberFormat="1" applyFont="1" applyFill="1" applyBorder="1" applyAlignment="1">
      <alignment/>
    </xf>
    <xf numFmtId="0" fontId="8" fillId="26" borderId="0" xfId="0" applyFont="1" applyFill="1" applyBorder="1" applyAlignment="1">
      <alignment/>
    </xf>
    <xf numFmtId="1" fontId="10" fillId="26" borderId="0" xfId="0" applyNumberFormat="1" applyFont="1" applyFill="1" applyBorder="1" applyAlignment="1">
      <alignment/>
    </xf>
    <xf numFmtId="1" fontId="9" fillId="26" borderId="0" xfId="0" applyNumberFormat="1" applyFont="1" applyFill="1" applyBorder="1" applyAlignment="1">
      <alignment/>
    </xf>
    <xf numFmtId="1" fontId="8" fillId="26" borderId="0" xfId="0" applyNumberFormat="1" applyFont="1" applyFill="1" applyBorder="1" applyAlignment="1">
      <alignment/>
    </xf>
    <xf numFmtId="0" fontId="9" fillId="26" borderId="0" xfId="0" applyFont="1" applyFill="1" applyBorder="1" applyAlignment="1">
      <alignment/>
    </xf>
    <xf numFmtId="1" fontId="14" fillId="26" borderId="15" xfId="0" applyNumberFormat="1" applyFont="1" applyFill="1" applyBorder="1" applyAlignment="1">
      <alignment horizontal="left"/>
    </xf>
    <xf numFmtId="1" fontId="14" fillId="26" borderId="19" xfId="0" applyNumberFormat="1" applyFont="1" applyFill="1" applyBorder="1" applyAlignment="1">
      <alignment horizontal="left"/>
    </xf>
    <xf numFmtId="1" fontId="9" fillId="26" borderId="19" xfId="0" applyNumberFormat="1" applyFont="1" applyFill="1" applyBorder="1" applyAlignment="1">
      <alignment/>
    </xf>
    <xf numFmtId="0" fontId="14" fillId="26" borderId="12" xfId="0" applyFont="1" applyFill="1" applyBorder="1" applyAlignment="1">
      <alignment/>
    </xf>
    <xf numFmtId="1" fontId="14" fillId="26" borderId="21" xfId="0" applyNumberFormat="1" applyFont="1" applyFill="1" applyBorder="1" applyAlignment="1">
      <alignment/>
    </xf>
    <xf numFmtId="1" fontId="14" fillId="26" borderId="20" xfId="0" applyNumberFormat="1" applyFont="1" applyFill="1" applyBorder="1" applyAlignment="1">
      <alignment/>
    </xf>
    <xf numFmtId="1" fontId="14" fillId="26" borderId="15" xfId="0" applyNumberFormat="1" applyFont="1" applyFill="1" applyBorder="1" applyAlignment="1">
      <alignment/>
    </xf>
    <xf numFmtId="1" fontId="14" fillId="26" borderId="19" xfId="0" applyNumberFormat="1" applyFont="1" applyFill="1" applyBorder="1" applyAlignment="1">
      <alignment/>
    </xf>
    <xf numFmtId="1" fontId="9" fillId="26" borderId="20" xfId="0" applyNumberFormat="1" applyFont="1" applyFill="1" applyBorder="1" applyAlignment="1">
      <alignment/>
    </xf>
    <xf numFmtId="1" fontId="14" fillId="26" borderId="14" xfId="0" applyNumberFormat="1" applyFont="1" applyFill="1" applyBorder="1" applyAlignment="1">
      <alignment/>
    </xf>
    <xf numFmtId="1" fontId="14" fillId="26" borderId="23" xfId="0" applyNumberFormat="1" applyFont="1" applyFill="1" applyBorder="1" applyAlignment="1">
      <alignment/>
    </xf>
    <xf numFmtId="1" fontId="14" fillId="26" borderId="13" xfId="0" applyNumberFormat="1" applyFont="1" applyFill="1" applyBorder="1" applyAlignment="1">
      <alignment horizontal="center"/>
    </xf>
    <xf numFmtId="1" fontId="14" fillId="26" borderId="18" xfId="0" applyNumberFormat="1" applyFont="1" applyFill="1" applyBorder="1" applyAlignment="1">
      <alignment horizontal="center"/>
    </xf>
    <xf numFmtId="0" fontId="13" fillId="26" borderId="13" xfId="0" applyFont="1" applyFill="1" applyBorder="1" applyAlignment="1">
      <alignment/>
    </xf>
    <xf numFmtId="1" fontId="10" fillId="26" borderId="13" xfId="0" applyNumberFormat="1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" fontId="0" fillId="26" borderId="0" xfId="0" applyNumberFormat="1" applyFont="1" applyFill="1" applyAlignment="1">
      <alignment/>
    </xf>
    <xf numFmtId="0" fontId="9" fillId="26" borderId="10" xfId="0" applyFont="1" applyFill="1" applyBorder="1" applyAlignment="1">
      <alignment/>
    </xf>
    <xf numFmtId="0" fontId="8" fillId="26" borderId="12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9" fillId="26" borderId="11" xfId="0" applyFont="1" applyFill="1" applyBorder="1" applyAlignment="1">
      <alignment/>
    </xf>
    <xf numFmtId="0" fontId="16" fillId="26" borderId="0" xfId="0" applyFont="1" applyFill="1" applyAlignment="1">
      <alignment/>
    </xf>
    <xf numFmtId="0" fontId="1" fillId="26" borderId="0" xfId="0" applyFont="1" applyFill="1" applyAlignment="1">
      <alignment/>
    </xf>
    <xf numFmtId="2" fontId="0" fillId="26" borderId="13" xfId="0" applyNumberFormat="1" applyFill="1" applyBorder="1" applyAlignment="1">
      <alignment/>
    </xf>
    <xf numFmtId="2" fontId="16" fillId="26" borderId="13" xfId="0" applyNumberFormat="1" applyFont="1" applyFill="1" applyBorder="1" applyAlignment="1">
      <alignment/>
    </xf>
    <xf numFmtId="0" fontId="16" fillId="26" borderId="13" xfId="0" applyFont="1" applyFill="1" applyBorder="1" applyAlignment="1">
      <alignment/>
    </xf>
    <xf numFmtId="1" fontId="9" fillId="26" borderId="17" xfId="0" applyNumberFormat="1" applyFont="1" applyFill="1" applyBorder="1" applyAlignment="1">
      <alignment/>
    </xf>
    <xf numFmtId="1" fontId="1" fillId="26" borderId="16" xfId="0" applyNumberFormat="1" applyFont="1" applyFill="1" applyBorder="1" applyAlignment="1">
      <alignment/>
    </xf>
    <xf numFmtId="1" fontId="1" fillId="26" borderId="18" xfId="0" applyNumberFormat="1" applyFont="1" applyFill="1" applyBorder="1" applyAlignment="1">
      <alignment/>
    </xf>
    <xf numFmtId="1" fontId="0" fillId="26" borderId="18" xfId="0" applyNumberFormat="1" applyFill="1" applyBorder="1" applyAlignment="1">
      <alignment/>
    </xf>
    <xf numFmtId="1" fontId="0" fillId="26" borderId="17" xfId="0" applyNumberFormat="1" applyFill="1" applyBorder="1" applyAlignment="1">
      <alignment/>
    </xf>
    <xf numFmtId="0" fontId="0" fillId="26" borderId="12" xfId="0" applyFill="1" applyBorder="1" applyAlignment="1">
      <alignment/>
    </xf>
    <xf numFmtId="1" fontId="1" fillId="26" borderId="10" xfId="0" applyNumberFormat="1" applyFont="1" applyFill="1" applyBorder="1" applyAlignment="1">
      <alignment horizontal="left"/>
    </xf>
    <xf numFmtId="1" fontId="1" fillId="26" borderId="15" xfId="0" applyNumberFormat="1" applyFont="1" applyFill="1" applyBorder="1" applyAlignment="1">
      <alignment/>
    </xf>
    <xf numFmtId="1" fontId="1" fillId="26" borderId="19" xfId="0" applyNumberFormat="1" applyFont="1" applyFill="1" applyBorder="1" applyAlignment="1" quotePrefix="1">
      <alignment horizontal="center"/>
    </xf>
    <xf numFmtId="1" fontId="1" fillId="26" borderId="14" xfId="0" applyNumberFormat="1" applyFont="1" applyFill="1" applyBorder="1" applyAlignment="1">
      <alignment/>
    </xf>
    <xf numFmtId="1" fontId="1" fillId="26" borderId="23" xfId="0" applyNumberFormat="1" applyFont="1" applyFill="1" applyBorder="1" applyAlignment="1">
      <alignment/>
    </xf>
    <xf numFmtId="0" fontId="1" fillId="26" borderId="11" xfId="0" applyFont="1" applyFill="1" applyBorder="1" applyAlignment="1">
      <alignment/>
    </xf>
    <xf numFmtId="1" fontId="1" fillId="26" borderId="13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1" fontId="8" fillId="26" borderId="16" xfId="0" applyNumberFormat="1" applyFont="1" applyFill="1" applyBorder="1" applyAlignment="1">
      <alignment/>
    </xf>
    <xf numFmtId="1" fontId="8" fillId="26" borderId="18" xfId="0" applyNumberFormat="1" applyFont="1" applyFill="1" applyBorder="1" applyAlignment="1">
      <alignment/>
    </xf>
    <xf numFmtId="1" fontId="9" fillId="26" borderId="18" xfId="0" applyNumberFormat="1" applyFont="1" applyFill="1" applyBorder="1" applyAlignment="1">
      <alignment/>
    </xf>
    <xf numFmtId="1" fontId="8" fillId="26" borderId="15" xfId="0" applyNumberFormat="1" applyFont="1" applyFill="1" applyBorder="1" applyAlignment="1">
      <alignment/>
    </xf>
    <xf numFmtId="1" fontId="8" fillId="26" borderId="12" xfId="0" applyNumberFormat="1" applyFont="1" applyFill="1" applyBorder="1" applyAlignment="1">
      <alignment/>
    </xf>
    <xf numFmtId="1" fontId="8" fillId="26" borderId="13" xfId="0" applyNumberFormat="1" applyFont="1" applyFill="1" applyBorder="1" applyAlignment="1">
      <alignment horizontal="center"/>
    </xf>
    <xf numFmtId="1" fontId="8" fillId="26" borderId="0" xfId="0" applyNumberFormat="1" applyFont="1" applyFill="1" applyAlignment="1">
      <alignment horizontal="center"/>
    </xf>
    <xf numFmtId="1" fontId="8" fillId="26" borderId="15" xfId="0" applyNumberFormat="1" applyFont="1" applyFill="1" applyBorder="1" applyAlignment="1">
      <alignment horizontal="left"/>
    </xf>
    <xf numFmtId="1" fontId="8" fillId="26" borderId="0" xfId="0" applyNumberFormat="1" applyFont="1" applyFill="1" applyAlignment="1" quotePrefix="1">
      <alignment horizontal="center"/>
    </xf>
    <xf numFmtId="1" fontId="1" fillId="26" borderId="16" xfId="0" applyNumberFormat="1" applyFont="1" applyFill="1" applyBorder="1" applyAlignment="1">
      <alignment horizontal="center"/>
    </xf>
    <xf numFmtId="1" fontId="1" fillId="26" borderId="18" xfId="0" applyNumberFormat="1" applyFont="1" applyFill="1" applyBorder="1" applyAlignment="1">
      <alignment horizontal="center"/>
    </xf>
    <xf numFmtId="1" fontId="1" fillId="26" borderId="21" xfId="0" applyNumberFormat="1" applyFont="1" applyFill="1" applyBorder="1" applyAlignment="1">
      <alignment/>
    </xf>
    <xf numFmtId="1" fontId="1" fillId="26" borderId="20" xfId="0" applyNumberFormat="1" applyFont="1" applyFill="1" applyBorder="1" applyAlignment="1" quotePrefix="1">
      <alignment horizontal="center"/>
    </xf>
    <xf numFmtId="0" fontId="2" fillId="26" borderId="13" xfId="0" applyFont="1" applyFill="1" applyBorder="1" applyAlignment="1">
      <alignment/>
    </xf>
    <xf numFmtId="1" fontId="2" fillId="26" borderId="13" xfId="0" applyNumberFormat="1" applyFont="1" applyFill="1" applyBorder="1" applyAlignment="1">
      <alignment/>
    </xf>
    <xf numFmtId="0" fontId="16" fillId="26" borderId="13" xfId="0" applyFont="1" applyFill="1" applyBorder="1" applyAlignment="1">
      <alignment/>
    </xf>
    <xf numFmtId="1" fontId="1" fillId="26" borderId="0" xfId="0" applyNumberFormat="1" applyFont="1" applyFill="1" applyAlignment="1">
      <alignment/>
    </xf>
    <xf numFmtId="0" fontId="1" fillId="26" borderId="0" xfId="0" applyFont="1" applyFill="1" applyAlignment="1">
      <alignment/>
    </xf>
    <xf numFmtId="1" fontId="6" fillId="26" borderId="13" xfId="0" applyNumberFormat="1" applyFont="1" applyFill="1" applyBorder="1" applyAlignment="1">
      <alignment horizontal="center"/>
    </xf>
    <xf numFmtId="1" fontId="1" fillId="26" borderId="0" xfId="0" applyNumberFormat="1" applyFont="1" applyFill="1" applyAlignment="1">
      <alignment horizontal="left"/>
    </xf>
    <xf numFmtId="0" fontId="1" fillId="26" borderId="0" xfId="0" applyFont="1" applyFill="1" applyAlignment="1">
      <alignment horizontal="left"/>
    </xf>
    <xf numFmtId="2" fontId="0" fillId="26" borderId="0" xfId="0" applyNumberFormat="1" applyFont="1" applyFill="1" applyAlignment="1">
      <alignment horizontal="left"/>
    </xf>
    <xf numFmtId="0" fontId="0" fillId="26" borderId="0" xfId="0" applyFont="1" applyFill="1" applyAlignment="1">
      <alignment/>
    </xf>
    <xf numFmtId="2" fontId="16" fillId="26" borderId="0" xfId="0" applyNumberFormat="1" applyFont="1" applyFill="1" applyAlignment="1">
      <alignment/>
    </xf>
    <xf numFmtId="1" fontId="16" fillId="26" borderId="0" xfId="0" applyNumberFormat="1" applyFont="1" applyFill="1" applyAlignment="1">
      <alignment/>
    </xf>
    <xf numFmtId="0" fontId="21" fillId="26" borderId="0" xfId="0" applyFont="1" applyFill="1" applyAlignment="1">
      <alignment/>
    </xf>
    <xf numFmtId="1" fontId="1" fillId="26" borderId="0" xfId="0" applyNumberFormat="1" applyFont="1" applyFill="1" applyAlignment="1">
      <alignment horizontal="center"/>
    </xf>
    <xf numFmtId="0" fontId="1" fillId="26" borderId="15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2" fontId="16" fillId="26" borderId="0" xfId="0" applyNumberFormat="1" applyFont="1" applyFill="1" applyAlignment="1">
      <alignment/>
    </xf>
    <xf numFmtId="1" fontId="16" fillId="26" borderId="0" xfId="0" applyNumberFormat="1" applyFont="1" applyFill="1" applyAlignment="1">
      <alignment/>
    </xf>
    <xf numFmtId="0" fontId="16" fillId="26" borderId="0" xfId="0" applyFont="1" applyFill="1" applyAlignment="1">
      <alignment/>
    </xf>
    <xf numFmtId="0" fontId="0" fillId="26" borderId="0" xfId="0" applyFill="1" applyBorder="1" applyAlignment="1">
      <alignment/>
    </xf>
    <xf numFmtId="2" fontId="9" fillId="26" borderId="13" xfId="0" applyNumberFormat="1" applyFont="1" applyFill="1" applyBorder="1" applyAlignment="1">
      <alignment/>
    </xf>
    <xf numFmtId="2" fontId="8" fillId="26" borderId="13" xfId="0" applyNumberFormat="1" applyFont="1" applyFill="1" applyBorder="1" applyAlignment="1">
      <alignment/>
    </xf>
    <xf numFmtId="1" fontId="14" fillId="26" borderId="0" xfId="0" applyNumberFormat="1" applyFont="1" applyFill="1" applyAlignment="1">
      <alignment/>
    </xf>
    <xf numFmtId="2" fontId="10" fillId="26" borderId="0" xfId="0" applyNumberFormat="1" applyFont="1" applyFill="1" applyAlignment="1">
      <alignment horizontal="right"/>
    </xf>
    <xf numFmtId="2" fontId="8" fillId="26" borderId="0" xfId="0" applyNumberFormat="1" applyFont="1" applyFill="1" applyAlignment="1">
      <alignment horizontal="right"/>
    </xf>
    <xf numFmtId="2" fontId="8" fillId="26" borderId="18" xfId="0" applyNumberFormat="1" applyFont="1" applyFill="1" applyBorder="1" applyAlignment="1">
      <alignment horizontal="center"/>
    </xf>
    <xf numFmtId="2" fontId="8" fillId="26" borderId="10" xfId="0" applyNumberFormat="1" applyFont="1" applyFill="1" applyBorder="1" applyAlignment="1">
      <alignment horizontal="right"/>
    </xf>
    <xf numFmtId="2" fontId="8" fillId="26" borderId="12" xfId="0" applyNumberFormat="1" applyFont="1" applyFill="1" applyBorder="1" applyAlignment="1">
      <alignment horizontal="center"/>
    </xf>
    <xf numFmtId="2" fontId="8" fillId="26" borderId="13" xfId="0" applyNumberFormat="1" applyFont="1" applyFill="1" applyBorder="1" applyAlignment="1">
      <alignment horizontal="right"/>
    </xf>
    <xf numFmtId="1" fontId="15" fillId="26" borderId="13" xfId="0" applyNumberFormat="1" applyFont="1" applyFill="1" applyBorder="1" applyAlignment="1">
      <alignment horizontal="right"/>
    </xf>
    <xf numFmtId="1" fontId="21" fillId="26" borderId="0" xfId="0" applyNumberFormat="1" applyFont="1" applyFill="1" applyAlignment="1">
      <alignment/>
    </xf>
    <xf numFmtId="2" fontId="9" fillId="24" borderId="13" xfId="0" applyNumberFormat="1" applyFont="1" applyFill="1" applyBorder="1" applyAlignment="1">
      <alignment/>
    </xf>
    <xf numFmtId="0" fontId="14" fillId="26" borderId="0" xfId="0" applyFont="1" applyFill="1" applyAlignment="1">
      <alignment/>
    </xf>
    <xf numFmtId="0" fontId="15" fillId="26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1" fontId="1" fillId="24" borderId="19" xfId="0" applyNumberFormat="1" applyFont="1" applyFill="1" applyBorder="1" applyAlignment="1">
      <alignment/>
    </xf>
    <xf numFmtId="1" fontId="1" fillId="24" borderId="15" xfId="0" applyNumberFormat="1" applyFont="1" applyFill="1" applyBorder="1" applyAlignment="1">
      <alignment/>
    </xf>
    <xf numFmtId="1" fontId="15" fillId="24" borderId="13" xfId="0" applyNumberFormat="1" applyFont="1" applyFill="1" applyBorder="1" applyAlignment="1">
      <alignment/>
    </xf>
    <xf numFmtId="1" fontId="14" fillId="24" borderId="13" xfId="0" applyNumberFormat="1" applyFont="1" applyFill="1" applyBorder="1" applyAlignment="1">
      <alignment/>
    </xf>
    <xf numFmtId="1" fontId="8" fillId="24" borderId="18" xfId="0" applyNumberFormat="1" applyFont="1" applyFill="1" applyBorder="1" applyAlignment="1" quotePrefix="1">
      <alignment horizontal="center"/>
    </xf>
    <xf numFmtId="1" fontId="9" fillId="24" borderId="13" xfId="0" applyNumberFormat="1" applyFont="1" applyFill="1" applyBorder="1" applyAlignment="1">
      <alignment horizontal="right"/>
    </xf>
    <xf numFmtId="1" fontId="8" fillId="24" borderId="13" xfId="0" applyNumberFormat="1" applyFont="1" applyFill="1" applyBorder="1" applyAlignment="1">
      <alignment horizontal="right"/>
    </xf>
    <xf numFmtId="1" fontId="2" fillId="24" borderId="13" xfId="0" applyNumberFormat="1" applyFont="1" applyFill="1" applyBorder="1" applyAlignment="1">
      <alignment/>
    </xf>
    <xf numFmtId="1" fontId="0" fillId="24" borderId="0" xfId="0" applyNumberFormat="1" applyFill="1" applyAlignment="1">
      <alignment horizontal="right"/>
    </xf>
    <xf numFmtId="1" fontId="1" fillId="24" borderId="13" xfId="0" applyNumberFormat="1" applyFont="1" applyFill="1" applyBorder="1" applyAlignment="1">
      <alignment/>
    </xf>
    <xf numFmtId="1" fontId="1" fillId="24" borderId="13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/>
    </xf>
    <xf numFmtId="1" fontId="14" fillId="24" borderId="15" xfId="0" applyNumberFormat="1" applyFont="1" applyFill="1" applyBorder="1" applyAlignment="1">
      <alignment/>
    </xf>
    <xf numFmtId="1" fontId="14" fillId="24" borderId="19" xfId="0" applyNumberFormat="1" applyFont="1" applyFill="1" applyBorder="1" applyAlignment="1">
      <alignment/>
    </xf>
    <xf numFmtId="1" fontId="14" fillId="24" borderId="21" xfId="0" applyNumberFormat="1" applyFont="1" applyFill="1" applyBorder="1" applyAlignment="1">
      <alignment/>
    </xf>
    <xf numFmtId="1" fontId="14" fillId="24" borderId="20" xfId="0" applyNumberFormat="1" applyFont="1" applyFill="1" applyBorder="1" applyAlignment="1">
      <alignment/>
    </xf>
    <xf numFmtId="1" fontId="14" fillId="24" borderId="14" xfId="0" applyNumberFormat="1" applyFont="1" applyFill="1" applyBorder="1" applyAlignment="1">
      <alignment/>
    </xf>
    <xf numFmtId="1" fontId="14" fillId="24" borderId="23" xfId="0" applyNumberFormat="1" applyFont="1" applyFill="1" applyBorder="1" applyAlignment="1">
      <alignment/>
    </xf>
    <xf numFmtId="1" fontId="8" fillId="24" borderId="0" xfId="0" applyNumberFormat="1" applyFont="1" applyFill="1" applyBorder="1" applyAlignment="1">
      <alignment/>
    </xf>
    <xf numFmtId="1" fontId="14" fillId="24" borderId="19" xfId="0" applyNumberFormat="1" applyFont="1" applyFill="1" applyBorder="1" applyAlignment="1">
      <alignment horizontal="left"/>
    </xf>
    <xf numFmtId="1" fontId="15" fillId="24" borderId="15" xfId="0" applyNumberFormat="1" applyFont="1" applyFill="1" applyBorder="1" applyAlignment="1">
      <alignment/>
    </xf>
    <xf numFmtId="1" fontId="15" fillId="24" borderId="21" xfId="0" applyNumberFormat="1" applyFont="1" applyFill="1" applyBorder="1" applyAlignment="1">
      <alignment/>
    </xf>
    <xf numFmtId="1" fontId="15" fillId="24" borderId="19" xfId="0" applyNumberFormat="1" applyFont="1" applyFill="1" applyBorder="1" applyAlignment="1">
      <alignment/>
    </xf>
    <xf numFmtId="1" fontId="15" fillId="24" borderId="20" xfId="0" applyNumberFormat="1" applyFont="1" applyFill="1" applyBorder="1" applyAlignment="1">
      <alignment/>
    </xf>
    <xf numFmtId="1" fontId="9" fillId="24" borderId="15" xfId="0" applyNumberFormat="1" applyFont="1" applyFill="1" applyBorder="1" applyAlignment="1">
      <alignment/>
    </xf>
    <xf numFmtId="1" fontId="9" fillId="24" borderId="19" xfId="0" applyNumberFormat="1" applyFont="1" applyFill="1" applyBorder="1" applyAlignment="1">
      <alignment/>
    </xf>
    <xf numFmtId="1" fontId="9" fillId="24" borderId="21" xfId="0" applyNumberFormat="1" applyFont="1" applyFill="1" applyBorder="1" applyAlignment="1">
      <alignment/>
    </xf>
    <xf numFmtId="1" fontId="9" fillId="24" borderId="20" xfId="0" applyNumberFormat="1" applyFont="1" applyFill="1" applyBorder="1" applyAlignment="1">
      <alignment/>
    </xf>
    <xf numFmtId="1" fontId="9" fillId="24" borderId="14" xfId="0" applyNumberFormat="1" applyFont="1" applyFill="1" applyBorder="1" applyAlignment="1">
      <alignment/>
    </xf>
    <xf numFmtId="1" fontId="9" fillId="24" borderId="23" xfId="0" applyNumberFormat="1" applyFont="1" applyFill="1" applyBorder="1" applyAlignment="1">
      <alignment/>
    </xf>
    <xf numFmtId="1" fontId="14" fillId="24" borderId="17" xfId="0" applyNumberFormat="1" applyFont="1" applyFill="1" applyBorder="1" applyAlignment="1">
      <alignment horizontal="center"/>
    </xf>
    <xf numFmtId="1" fontId="4" fillId="24" borderId="0" xfId="0" applyNumberFormat="1" applyFont="1" applyFill="1" applyAlignment="1">
      <alignment/>
    </xf>
    <xf numFmtId="1" fontId="10" fillId="24" borderId="16" xfId="0" applyNumberFormat="1" applyFont="1" applyFill="1" applyBorder="1" applyAlignment="1">
      <alignment/>
    </xf>
    <xf numFmtId="1" fontId="10" fillId="24" borderId="18" xfId="0" applyNumberFormat="1" applyFont="1" applyFill="1" applyBorder="1" applyAlignment="1">
      <alignment/>
    </xf>
    <xf numFmtId="1" fontId="9" fillId="24" borderId="17" xfId="0" applyNumberFormat="1" applyFont="1" applyFill="1" applyBorder="1" applyAlignment="1">
      <alignment/>
    </xf>
    <xf numFmtId="1" fontId="10" fillId="24" borderId="17" xfId="0" applyNumberFormat="1" applyFont="1" applyFill="1" applyBorder="1" applyAlignment="1">
      <alignment/>
    </xf>
    <xf numFmtId="0" fontId="8" fillId="24" borderId="11" xfId="0" applyFont="1" applyFill="1" applyBorder="1" applyAlignment="1">
      <alignment/>
    </xf>
    <xf numFmtId="1" fontId="8" fillId="24" borderId="12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/>
    </xf>
    <xf numFmtId="1" fontId="14" fillId="24" borderId="18" xfId="0" applyNumberFormat="1" applyFont="1" applyFill="1" applyBorder="1" applyAlignment="1">
      <alignment horizontal="center"/>
    </xf>
    <xf numFmtId="1" fontId="14" fillId="24" borderId="11" xfId="0" applyNumberFormat="1" applyFont="1" applyFill="1" applyBorder="1" applyAlignment="1">
      <alignment horizontal="center"/>
    </xf>
    <xf numFmtId="1" fontId="15" fillId="24" borderId="0" xfId="0" applyNumberFormat="1" applyFont="1" applyFill="1" applyAlignment="1">
      <alignment/>
    </xf>
    <xf numFmtId="1" fontId="14" fillId="24" borderId="0" xfId="0" applyNumberFormat="1" applyFont="1" applyFill="1" applyAlignment="1">
      <alignment horizontal="center"/>
    </xf>
    <xf numFmtId="1" fontId="0" fillId="24" borderId="0" xfId="0" applyNumberFormat="1" applyFont="1" applyFill="1" applyAlignment="1">
      <alignment/>
    </xf>
    <xf numFmtId="1" fontId="14" fillId="24" borderId="18" xfId="0" applyNumberFormat="1" applyFont="1" applyFill="1" applyBorder="1" applyAlignment="1">
      <alignment horizontal="center" wrapText="1"/>
    </xf>
    <xf numFmtId="1" fontId="14" fillId="24" borderId="0" xfId="0" applyNumberFormat="1" applyFont="1" applyFill="1" applyAlignment="1">
      <alignment horizontal="center" wrapText="1"/>
    </xf>
    <xf numFmtId="1" fontId="21" fillId="24" borderId="17" xfId="0" applyNumberFormat="1" applyFont="1" applyFill="1" applyBorder="1" applyAlignment="1">
      <alignment/>
    </xf>
    <xf numFmtId="1" fontId="21" fillId="24" borderId="0" xfId="0" applyNumberFormat="1" applyFont="1" applyFill="1" applyAlignment="1">
      <alignment/>
    </xf>
    <xf numFmtId="0" fontId="8" fillId="24" borderId="10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1" fontId="14" fillId="24" borderId="16" xfId="0" applyNumberFormat="1" applyFont="1" applyFill="1" applyBorder="1" applyAlignment="1">
      <alignment horizontal="center"/>
    </xf>
    <xf numFmtId="1" fontId="0" fillId="24" borderId="17" xfId="0" applyNumberFormat="1" applyFill="1" applyBorder="1" applyAlignment="1">
      <alignment/>
    </xf>
    <xf numFmtId="0" fontId="10" fillId="24" borderId="13" xfId="0" applyFont="1" applyFill="1" applyBorder="1" applyAlignment="1">
      <alignment/>
    </xf>
    <xf numFmtId="1" fontId="1" fillId="24" borderId="0" xfId="0" applyNumberFormat="1" applyFont="1" applyFill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" fontId="14" fillId="24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5" fillId="24" borderId="13" xfId="0" applyNumberFormat="1" applyFont="1" applyFill="1" applyBorder="1" applyAlignment="1" quotePrefix="1">
      <alignment/>
    </xf>
    <xf numFmtId="1" fontId="2" fillId="24" borderId="0" xfId="0" applyNumberFormat="1" applyFont="1" applyFill="1" applyAlignment="1">
      <alignment horizontal="right"/>
    </xf>
    <xf numFmtId="2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1" fillId="24" borderId="0" xfId="0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1" fontId="1" fillId="24" borderId="10" xfId="0" applyNumberFormat="1" applyFont="1" applyFill="1" applyBorder="1" applyAlignment="1">
      <alignment/>
    </xf>
    <xf numFmtId="2" fontId="1" fillId="24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/>
    </xf>
    <xf numFmtId="0" fontId="1" fillId="24" borderId="12" xfId="0" applyFont="1" applyFill="1" applyBorder="1" applyAlignment="1">
      <alignment/>
    </xf>
    <xf numFmtId="1" fontId="1" fillId="24" borderId="11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right"/>
    </xf>
    <xf numFmtId="1" fontId="0" fillId="24" borderId="13" xfId="0" applyNumberFormat="1" applyFill="1" applyBorder="1" applyAlignment="1">
      <alignment horizontal="right"/>
    </xf>
    <xf numFmtId="2" fontId="0" fillId="24" borderId="0" xfId="0" applyNumberFormat="1" applyFont="1" applyFill="1" applyAlignment="1">
      <alignment/>
    </xf>
    <xf numFmtId="1" fontId="1" fillId="24" borderId="13" xfId="0" applyNumberFormat="1" applyFont="1" applyFill="1" applyBorder="1" applyAlignment="1">
      <alignment horizontal="right"/>
    </xf>
    <xf numFmtId="2" fontId="0" fillId="24" borderId="0" xfId="0" applyNumberFormat="1" applyFont="1" applyFill="1" applyAlignment="1">
      <alignment/>
    </xf>
    <xf numFmtId="0" fontId="1" fillId="24" borderId="13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" fontId="1" fillId="24" borderId="0" xfId="0" applyNumberFormat="1" applyFont="1" applyFill="1" applyAlignment="1">
      <alignment horizontal="right"/>
    </xf>
    <xf numFmtId="0" fontId="8" fillId="26" borderId="19" xfId="0" applyFont="1" applyFill="1" applyBorder="1" applyAlignment="1">
      <alignment/>
    </xf>
    <xf numFmtId="0" fontId="8" fillId="26" borderId="20" xfId="0" applyFont="1" applyFill="1" applyBorder="1" applyAlignment="1">
      <alignment/>
    </xf>
    <xf numFmtId="0" fontId="8" fillId="26" borderId="23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1" fontId="17" fillId="26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0" fillId="26" borderId="0" xfId="0" applyNumberFormat="1" applyFont="1" applyFill="1" applyAlignment="1">
      <alignment/>
    </xf>
    <xf numFmtId="1" fontId="13" fillId="26" borderId="0" xfId="0" applyNumberFormat="1" applyFont="1" applyFill="1" applyAlignment="1">
      <alignment/>
    </xf>
    <xf numFmtId="1" fontId="8" fillId="26" borderId="22" xfId="0" applyNumberFormat="1" applyFont="1" applyFill="1" applyBorder="1" applyAlignment="1">
      <alignment/>
    </xf>
    <xf numFmtId="1" fontId="8" fillId="26" borderId="19" xfId="0" applyNumberFormat="1" applyFont="1" applyFill="1" applyBorder="1" applyAlignment="1">
      <alignment/>
    </xf>
    <xf numFmtId="1" fontId="8" fillId="26" borderId="17" xfId="0" applyNumberFormat="1" applyFont="1" applyFill="1" applyBorder="1" applyAlignment="1">
      <alignment/>
    </xf>
    <xf numFmtId="1" fontId="9" fillId="26" borderId="13" xfId="0" applyNumberFormat="1" applyFont="1" applyFill="1" applyBorder="1" applyAlignment="1">
      <alignment horizontal="right"/>
    </xf>
    <xf numFmtId="0" fontId="8" fillId="26" borderId="0" xfId="0" applyFont="1" applyFill="1" applyAlignment="1">
      <alignment horizontal="center"/>
    </xf>
    <xf numFmtId="2" fontId="8" fillId="26" borderId="0" xfId="0" applyNumberFormat="1" applyFont="1" applyFill="1" applyAlignment="1">
      <alignment horizontal="center"/>
    </xf>
    <xf numFmtId="190" fontId="9" fillId="26" borderId="0" xfId="0" applyNumberFormat="1" applyFont="1" applyFill="1" applyAlignment="1">
      <alignment/>
    </xf>
    <xf numFmtId="2" fontId="9" fillId="26" borderId="0" xfId="0" applyNumberFormat="1" applyFont="1" applyFill="1" applyAlignment="1">
      <alignment/>
    </xf>
    <xf numFmtId="2" fontId="8" fillId="26" borderId="0" xfId="0" applyNumberFormat="1" applyFont="1" applyFill="1" applyAlignment="1">
      <alignment/>
    </xf>
    <xf numFmtId="1" fontId="13" fillId="26" borderId="13" xfId="0" applyNumberFormat="1" applyFont="1" applyFill="1" applyBorder="1" applyAlignment="1">
      <alignment/>
    </xf>
    <xf numFmtId="1" fontId="8" fillId="26" borderId="16" xfId="0" applyNumberFormat="1" applyFont="1" applyFill="1" applyBorder="1" applyAlignment="1">
      <alignment horizontal="center"/>
    </xf>
    <xf numFmtId="1" fontId="8" fillId="26" borderId="12" xfId="0" applyNumberFormat="1" applyFont="1" applyFill="1" applyBorder="1" applyAlignment="1">
      <alignment horizontal="center"/>
    </xf>
    <xf numFmtId="2" fontId="1" fillId="26" borderId="0" xfId="0" applyNumberFormat="1" applyFont="1" applyFill="1" applyAlignment="1">
      <alignment horizontal="center"/>
    </xf>
    <xf numFmtId="17" fontId="1" fillId="26" borderId="0" xfId="0" applyNumberFormat="1" applyFont="1" applyFill="1" applyAlignment="1">
      <alignment horizontal="left"/>
    </xf>
    <xf numFmtId="0" fontId="9" fillId="26" borderId="12" xfId="0" applyFont="1" applyFill="1" applyBorder="1" applyAlignment="1">
      <alignment/>
    </xf>
    <xf numFmtId="1" fontId="17" fillId="26" borderId="10" xfId="0" applyNumberFormat="1" applyFont="1" applyFill="1" applyBorder="1" applyAlignment="1">
      <alignment horizontal="center"/>
    </xf>
    <xf numFmtId="1" fontId="17" fillId="26" borderId="12" xfId="0" applyNumberFormat="1" applyFont="1" applyFill="1" applyBorder="1" applyAlignment="1">
      <alignment horizontal="center"/>
    </xf>
    <xf numFmtId="1" fontId="17" fillId="26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1" fontId="13" fillId="24" borderId="0" xfId="0" applyNumberFormat="1" applyFont="1" applyFill="1" applyAlignment="1">
      <alignment/>
    </xf>
    <xf numFmtId="1" fontId="8" fillId="24" borderId="15" xfId="0" applyNumberFormat="1" applyFont="1" applyFill="1" applyBorder="1" applyAlignment="1">
      <alignment/>
    </xf>
    <xf numFmtId="1" fontId="8" fillId="24" borderId="22" xfId="0" applyNumberFormat="1" applyFont="1" applyFill="1" applyBorder="1" applyAlignment="1">
      <alignment/>
    </xf>
    <xf numFmtId="1" fontId="8" fillId="24" borderId="19" xfId="0" applyNumberFormat="1" applyFont="1" applyFill="1" applyBorder="1" applyAlignment="1">
      <alignment/>
    </xf>
    <xf numFmtId="1" fontId="8" fillId="24" borderId="18" xfId="0" applyNumberFormat="1" applyFont="1" applyFill="1" applyBorder="1" applyAlignment="1">
      <alignment/>
    </xf>
    <xf numFmtId="1" fontId="9" fillId="24" borderId="0" xfId="0" applyNumberFormat="1" applyFont="1" applyFill="1" applyAlignment="1">
      <alignment horizontal="right"/>
    </xf>
    <xf numFmtId="1" fontId="8" fillId="24" borderId="0" xfId="0" applyNumberFormat="1" applyFont="1" applyFill="1" applyAlignment="1">
      <alignment horizontal="right"/>
    </xf>
    <xf numFmtId="1" fontId="10" fillId="24" borderId="0" xfId="0" applyNumberFormat="1" applyFont="1" applyFill="1" applyAlignment="1">
      <alignment horizontal="right"/>
    </xf>
    <xf numFmtId="1" fontId="8" fillId="24" borderId="10" xfId="0" applyNumberFormat="1" applyFont="1" applyFill="1" applyBorder="1" applyAlignment="1">
      <alignment horizontal="right"/>
    </xf>
    <xf numFmtId="1" fontId="8" fillId="24" borderId="12" xfId="0" applyNumberFormat="1" applyFont="1" applyFill="1" applyBorder="1" applyAlignment="1">
      <alignment horizontal="right"/>
    </xf>
    <xf numFmtId="1" fontId="8" fillId="24" borderId="11" xfId="0" applyNumberFormat="1" applyFont="1" applyFill="1" applyBorder="1" applyAlignment="1">
      <alignment horizontal="right"/>
    </xf>
    <xf numFmtId="1" fontId="9" fillId="24" borderId="11" xfId="0" applyNumberFormat="1" applyFont="1" applyFill="1" applyBorder="1" applyAlignment="1">
      <alignment/>
    </xf>
    <xf numFmtId="1" fontId="1" fillId="24" borderId="0" xfId="0" applyNumberFormat="1" applyFont="1" applyFill="1" applyAlignment="1">
      <alignment horizontal="right"/>
    </xf>
    <xf numFmtId="1" fontId="1" fillId="24" borderId="0" xfId="0" applyNumberFormat="1" applyFont="1" applyFill="1" applyAlignment="1">
      <alignment/>
    </xf>
    <xf numFmtId="1" fontId="9" fillId="24" borderId="11" xfId="0" applyNumberFormat="1" applyFont="1" applyFill="1" applyBorder="1" applyAlignment="1">
      <alignment horizontal="right"/>
    </xf>
    <xf numFmtId="1" fontId="0" fillId="24" borderId="0" xfId="0" applyNumberFormat="1" applyFont="1" applyFill="1" applyAlignment="1">
      <alignment horizontal="right"/>
    </xf>
    <xf numFmtId="1" fontId="17" fillId="24" borderId="11" xfId="0" applyNumberFormat="1" applyFont="1" applyFill="1" applyBorder="1" applyAlignment="1">
      <alignment horizontal="right"/>
    </xf>
    <xf numFmtId="1" fontId="9" fillId="24" borderId="10" xfId="0" applyNumberFormat="1" applyFont="1" applyFill="1" applyBorder="1" applyAlignment="1">
      <alignment horizontal="right"/>
    </xf>
    <xf numFmtId="1" fontId="17" fillId="24" borderId="12" xfId="0" applyNumberFormat="1" applyFont="1" applyFill="1" applyBorder="1" applyAlignment="1">
      <alignment horizontal="right"/>
    </xf>
    <xf numFmtId="1" fontId="0" fillId="26" borderId="0" xfId="0" applyNumberFormat="1" applyFont="1" applyFill="1" applyAlignment="1">
      <alignment/>
    </xf>
    <xf numFmtId="1" fontId="15" fillId="26" borderId="12" xfId="0" applyNumberFormat="1" applyFont="1" applyFill="1" applyBorder="1" applyAlignment="1">
      <alignment/>
    </xf>
    <xf numFmtId="1" fontId="15" fillId="24" borderId="16" xfId="0" applyNumberFormat="1" applyFont="1" applyFill="1" applyBorder="1" applyAlignment="1">
      <alignment/>
    </xf>
    <xf numFmtId="1" fontId="24" fillId="26" borderId="13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15" fillId="24" borderId="13" xfId="0" applyFont="1" applyFill="1" applyBorder="1" applyAlignment="1">
      <alignment/>
    </xf>
    <xf numFmtId="1" fontId="0" fillId="24" borderId="13" xfId="0" applyNumberFormat="1" applyFill="1" applyBorder="1" applyAlignment="1">
      <alignment horizontal="center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8" fillId="24" borderId="13" xfId="0" applyNumberFormat="1" applyFont="1" applyFill="1" applyBorder="1" applyAlignment="1">
      <alignment/>
    </xf>
    <xf numFmtId="1" fontId="9" fillId="22" borderId="13" xfId="0" applyNumberFormat="1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" fontId="8" fillId="26" borderId="15" xfId="0" applyNumberFormat="1" applyFont="1" applyFill="1" applyBorder="1" applyAlignment="1">
      <alignment horizontal="center"/>
    </xf>
    <xf numFmtId="1" fontId="8" fillId="26" borderId="19" xfId="0" applyNumberFormat="1" applyFont="1" applyFill="1" applyBorder="1" applyAlignment="1">
      <alignment horizontal="center"/>
    </xf>
    <xf numFmtId="0" fontId="9" fillId="26" borderId="20" xfId="0" applyFont="1" applyFill="1" applyBorder="1" applyAlignment="1">
      <alignment/>
    </xf>
    <xf numFmtId="1" fontId="9" fillId="26" borderId="12" xfId="0" applyNumberFormat="1" applyFont="1" applyFill="1" applyBorder="1" applyAlignment="1">
      <alignment/>
    </xf>
    <xf numFmtId="1" fontId="8" fillId="26" borderId="10" xfId="0" applyNumberFormat="1" applyFont="1" applyFill="1" applyBorder="1" applyAlignment="1">
      <alignment horizontal="left"/>
    </xf>
    <xf numFmtId="1" fontId="8" fillId="26" borderId="19" xfId="0" applyNumberFormat="1" applyFont="1" applyFill="1" applyBorder="1" applyAlignment="1" quotePrefix="1">
      <alignment horizontal="center"/>
    </xf>
    <xf numFmtId="1" fontId="8" fillId="26" borderId="20" xfId="0" applyNumberFormat="1" applyFont="1" applyFill="1" applyBorder="1" applyAlignment="1">
      <alignment/>
    </xf>
    <xf numFmtId="1" fontId="8" fillId="26" borderId="21" xfId="0" applyNumberFormat="1" applyFont="1" applyFill="1" applyBorder="1" applyAlignment="1">
      <alignment/>
    </xf>
    <xf numFmtId="1" fontId="8" fillId="26" borderId="14" xfId="0" applyNumberFormat="1" applyFont="1" applyFill="1" applyBorder="1" applyAlignment="1">
      <alignment/>
    </xf>
    <xf numFmtId="1" fontId="8" fillId="26" borderId="23" xfId="0" applyNumberFormat="1" applyFont="1" applyFill="1" applyBorder="1" applyAlignment="1">
      <alignment/>
    </xf>
    <xf numFmtId="1" fontId="10" fillId="26" borderId="17" xfId="0" applyNumberFormat="1" applyFont="1" applyFill="1" applyBorder="1" applyAlignment="1">
      <alignment/>
    </xf>
    <xf numFmtId="0" fontId="13" fillId="26" borderId="0" xfId="0" applyFont="1" applyFill="1" applyAlignment="1">
      <alignment/>
    </xf>
    <xf numFmtId="1" fontId="15" fillId="26" borderId="17" xfId="0" applyNumberFormat="1" applyFont="1" applyFill="1" applyBorder="1" applyAlignment="1">
      <alignment/>
    </xf>
    <xf numFmtId="0" fontId="10" fillId="26" borderId="17" xfId="0" applyFont="1" applyFill="1" applyBorder="1" applyAlignment="1">
      <alignment/>
    </xf>
    <xf numFmtId="1" fontId="1" fillId="26" borderId="15" xfId="0" applyNumberFormat="1" applyFont="1" applyFill="1" applyBorder="1" applyAlignment="1">
      <alignment horizontal="center"/>
    </xf>
    <xf numFmtId="1" fontId="0" fillId="26" borderId="12" xfId="0" applyNumberFormat="1" applyFill="1" applyBorder="1" applyAlignment="1">
      <alignment/>
    </xf>
    <xf numFmtId="1" fontId="1" fillId="26" borderId="22" xfId="0" applyNumberFormat="1" applyFont="1" applyFill="1" applyBorder="1" applyAlignment="1">
      <alignment horizontal="center"/>
    </xf>
    <xf numFmtId="1" fontId="1" fillId="26" borderId="21" xfId="0" applyNumberFormat="1" applyFont="1" applyFill="1" applyBorder="1" applyAlignment="1">
      <alignment horizontal="center"/>
    </xf>
    <xf numFmtId="1" fontId="1" fillId="26" borderId="20" xfId="0" applyNumberFormat="1" applyFont="1" applyFill="1" applyBorder="1" applyAlignment="1">
      <alignment/>
    </xf>
    <xf numFmtId="1" fontId="1" fillId="26" borderId="11" xfId="0" applyNumberFormat="1" applyFont="1" applyFill="1" applyBorder="1" applyAlignment="1">
      <alignment horizontal="center"/>
    </xf>
    <xf numFmtId="190" fontId="9" fillId="24" borderId="13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5" fillId="0" borderId="13" xfId="0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1" fontId="25" fillId="0" borderId="13" xfId="0" applyNumberFormat="1" applyFont="1" applyFill="1" applyBorder="1" applyAlignment="1">
      <alignment horizontal="left"/>
    </xf>
    <xf numFmtId="1" fontId="25" fillId="0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5" fillId="0" borderId="13" xfId="0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13" xfId="0" applyNumberFormat="1" applyFont="1" applyFill="1" applyBorder="1" applyAlignment="1">
      <alignment/>
    </xf>
    <xf numFmtId="1" fontId="1" fillId="24" borderId="1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90" fontId="0" fillId="0" borderId="0" xfId="0" applyNumberFormat="1" applyFill="1" applyAlignment="1">
      <alignment/>
    </xf>
    <xf numFmtId="0" fontId="21" fillId="24" borderId="0" xfId="0" applyFont="1" applyFill="1" applyAlignment="1">
      <alignment/>
    </xf>
    <xf numFmtId="1" fontId="1" fillId="0" borderId="1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1" fillId="24" borderId="16" xfId="0" applyNumberFormat="1" applyFont="1" applyFill="1" applyBorder="1" applyAlignment="1">
      <alignment horizontal="center"/>
    </xf>
    <xf numFmtId="1" fontId="1" fillId="24" borderId="17" xfId="0" applyNumberFormat="1" applyFont="1" applyFill="1" applyBorder="1" applyAlignment="1">
      <alignment horizontal="center"/>
    </xf>
    <xf numFmtId="1" fontId="14" fillId="24" borderId="20" xfId="0" applyNumberFormat="1" applyFont="1" applyFill="1" applyBorder="1" applyAlignment="1">
      <alignment horizontal="center"/>
    </xf>
    <xf numFmtId="1" fontId="14" fillId="26" borderId="14" xfId="0" applyNumberFormat="1" applyFont="1" applyFill="1" applyBorder="1" applyAlignment="1">
      <alignment horizontal="center"/>
    </xf>
    <xf numFmtId="1" fontId="14" fillId="26" borderId="2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26" borderId="15" xfId="0" applyNumberFormat="1" applyFont="1" applyFill="1" applyBorder="1" applyAlignment="1">
      <alignment horizontal="center"/>
    </xf>
    <xf numFmtId="1" fontId="1" fillId="26" borderId="19" xfId="0" applyNumberFormat="1" applyFont="1" applyFill="1" applyBorder="1" applyAlignment="1">
      <alignment horizontal="center"/>
    </xf>
    <xf numFmtId="1" fontId="1" fillId="26" borderId="14" xfId="0" applyNumberFormat="1" applyFont="1" applyFill="1" applyBorder="1" applyAlignment="1">
      <alignment horizontal="center"/>
    </xf>
    <xf numFmtId="1" fontId="1" fillId="26" borderId="23" xfId="0" applyNumberFormat="1" applyFont="1" applyFill="1" applyBorder="1" applyAlignment="1">
      <alignment horizontal="center"/>
    </xf>
    <xf numFmtId="1" fontId="8" fillId="26" borderId="14" xfId="0" applyNumberFormat="1" applyFont="1" applyFill="1" applyBorder="1" applyAlignment="1">
      <alignment horizontal="center"/>
    </xf>
    <xf numFmtId="1" fontId="8" fillId="26" borderId="23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4" fillId="26" borderId="18" xfId="0" applyNumberFormat="1" applyFont="1" applyFill="1" applyBorder="1" applyAlignment="1">
      <alignment horizontal="left"/>
    </xf>
    <xf numFmtId="1" fontId="14" fillId="26" borderId="17" xfId="0" applyNumberFormat="1" applyFont="1" applyFill="1" applyBorder="1" applyAlignment="1">
      <alignment horizontal="left"/>
    </xf>
    <xf numFmtId="1" fontId="14" fillId="24" borderId="21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24" borderId="14" xfId="0" applyNumberFormat="1" applyFont="1" applyFill="1" applyBorder="1" applyAlignment="1">
      <alignment horizontal="center"/>
    </xf>
    <xf numFmtId="1" fontId="8" fillId="24" borderId="23" xfId="0" applyNumberFormat="1" applyFont="1" applyFill="1" applyBorder="1" applyAlignment="1">
      <alignment horizontal="center"/>
    </xf>
    <xf numFmtId="1" fontId="8" fillId="26" borderId="16" xfId="0" applyNumberFormat="1" applyFont="1" applyFill="1" applyBorder="1" applyAlignment="1">
      <alignment horizontal="center"/>
    </xf>
    <xf numFmtId="1" fontId="8" fillId="26" borderId="18" xfId="0" applyNumberFormat="1" applyFont="1" applyFill="1" applyBorder="1" applyAlignment="1">
      <alignment horizontal="center"/>
    </xf>
    <xf numFmtId="1" fontId="8" fillId="26" borderId="17" xfId="0" applyNumberFormat="1" applyFont="1" applyFill="1" applyBorder="1" applyAlignment="1">
      <alignment horizontal="center"/>
    </xf>
    <xf numFmtId="1" fontId="8" fillId="26" borderId="15" xfId="0" applyNumberFormat="1" applyFont="1" applyFill="1" applyBorder="1" applyAlignment="1">
      <alignment horizontal="center"/>
    </xf>
    <xf numFmtId="1" fontId="8" fillId="26" borderId="19" xfId="0" applyNumberFormat="1" applyFont="1" applyFill="1" applyBorder="1" applyAlignment="1">
      <alignment horizontal="center"/>
    </xf>
    <xf numFmtId="1" fontId="8" fillId="26" borderId="22" xfId="0" applyNumberFormat="1" applyFont="1" applyFill="1" applyBorder="1" applyAlignment="1">
      <alignment horizontal="center"/>
    </xf>
    <xf numFmtId="1" fontId="8" fillId="26" borderId="21" xfId="0" applyNumberFormat="1" applyFont="1" applyFill="1" applyBorder="1" applyAlignment="1">
      <alignment horizontal="center"/>
    </xf>
    <xf numFmtId="1" fontId="8" fillId="26" borderId="20" xfId="0" applyNumberFormat="1" applyFont="1" applyFill="1" applyBorder="1" applyAlignment="1">
      <alignment horizontal="center"/>
    </xf>
    <xf numFmtId="1" fontId="8" fillId="26" borderId="0" xfId="0" applyNumberFormat="1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/>
    </xf>
    <xf numFmtId="1" fontId="1" fillId="24" borderId="22" xfId="0" applyNumberFormat="1" applyFont="1" applyFill="1" applyBorder="1" applyAlignment="1">
      <alignment horizontal="center"/>
    </xf>
    <xf numFmtId="1" fontId="14" fillId="26" borderId="21" xfId="0" applyNumberFormat="1" applyFont="1" applyFill="1" applyBorder="1" applyAlignment="1">
      <alignment horizontal="center"/>
    </xf>
    <xf numFmtId="1" fontId="14" fillId="26" borderId="20" xfId="0" applyNumberFormat="1" applyFont="1" applyFill="1" applyBorder="1" applyAlignment="1">
      <alignment horizontal="center"/>
    </xf>
    <xf numFmtId="1" fontId="14" fillId="26" borderId="15" xfId="0" applyNumberFormat="1" applyFont="1" applyFill="1" applyBorder="1" applyAlignment="1">
      <alignment horizontal="center"/>
    </xf>
    <xf numFmtId="1" fontId="14" fillId="26" borderId="19" xfId="0" applyNumberFormat="1" applyFont="1" applyFill="1" applyBorder="1" applyAlignment="1">
      <alignment horizontal="center"/>
    </xf>
    <xf numFmtId="1" fontId="14" fillId="26" borderId="16" xfId="0" applyNumberFormat="1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1" fillId="26" borderId="21" xfId="0" applyNumberFormat="1" applyFont="1" applyFill="1" applyBorder="1" applyAlignment="1">
      <alignment horizontal="center"/>
    </xf>
    <xf numFmtId="1" fontId="1" fillId="26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24" borderId="16" xfId="0" applyNumberFormat="1" applyFont="1" applyFill="1" applyBorder="1" applyAlignment="1">
      <alignment horizontal="center"/>
    </xf>
    <xf numFmtId="1" fontId="8" fillId="24" borderId="17" xfId="0" applyNumberFormat="1" applyFont="1" applyFill="1" applyBorder="1" applyAlignment="1">
      <alignment horizontal="center"/>
    </xf>
    <xf numFmtId="1" fontId="1" fillId="26" borderId="16" xfId="0" applyNumberFormat="1" applyFont="1" applyFill="1" applyBorder="1" applyAlignment="1">
      <alignment horizontal="center"/>
    </xf>
    <xf numFmtId="1" fontId="1" fillId="26" borderId="18" xfId="0" applyNumberFormat="1" applyFont="1" applyFill="1" applyBorder="1" applyAlignment="1">
      <alignment horizontal="center"/>
    </xf>
    <xf numFmtId="1" fontId="1" fillId="26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4" fillId="26" borderId="16" xfId="0" applyNumberFormat="1" applyFont="1" applyFill="1" applyBorder="1" applyAlignment="1">
      <alignment horizontal="center"/>
    </xf>
    <xf numFmtId="1" fontId="14" fillId="26" borderId="18" xfId="0" applyNumberFormat="1" applyFont="1" applyFill="1" applyBorder="1" applyAlignment="1">
      <alignment horizontal="center"/>
    </xf>
    <xf numFmtId="1" fontId="14" fillId="26" borderId="16" xfId="0" applyNumberFormat="1" applyFont="1" applyFill="1" applyBorder="1" applyAlignment="1">
      <alignment horizontal="center" vertical="top" wrapText="1"/>
    </xf>
    <xf numFmtId="1" fontId="14" fillId="26" borderId="18" xfId="0" applyNumberFormat="1" applyFont="1" applyFill="1" applyBorder="1" applyAlignment="1">
      <alignment horizontal="center" vertical="top" wrapText="1"/>
    </xf>
    <xf numFmtId="1" fontId="14" fillId="26" borderId="0" xfId="0" applyNumberFormat="1" applyFont="1" applyFill="1" applyAlignment="1">
      <alignment horizontal="center"/>
    </xf>
    <xf numFmtId="1" fontId="14" fillId="26" borderId="0" xfId="0" applyNumberFormat="1" applyFont="1" applyFill="1" applyAlignment="1">
      <alignment horizontal="center" wrapText="1"/>
    </xf>
    <xf numFmtId="1" fontId="14" fillId="26" borderId="0" xfId="0" applyNumberFormat="1" applyFont="1" applyFill="1" applyAlignment="1">
      <alignment horizontal="center" vertical="top" wrapText="1"/>
    </xf>
    <xf numFmtId="1" fontId="14" fillId="26" borderId="16" xfId="0" applyNumberFormat="1" applyFont="1" applyFill="1" applyBorder="1" applyAlignment="1">
      <alignment horizontal="center" wrapText="1"/>
    </xf>
    <xf numFmtId="1" fontId="14" fillId="26" borderId="18" xfId="0" applyNumberFormat="1" applyFont="1" applyFill="1" applyBorder="1" applyAlignment="1">
      <alignment horizontal="center" wrapText="1"/>
    </xf>
    <xf numFmtId="1" fontId="14" fillId="26" borderId="17" xfId="0" applyNumberFormat="1" applyFont="1" applyFill="1" applyBorder="1" applyAlignment="1">
      <alignment horizontal="center"/>
    </xf>
    <xf numFmtId="1" fontId="14" fillId="24" borderId="16" xfId="0" applyNumberFormat="1" applyFont="1" applyFill="1" applyBorder="1" applyAlignment="1">
      <alignment horizontal="center"/>
    </xf>
    <xf numFmtId="1" fontId="14" fillId="24" borderId="18" xfId="0" applyNumberFormat="1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 vertical="top" wrapText="1"/>
    </xf>
    <xf numFmtId="1" fontId="1" fillId="24" borderId="19" xfId="0" applyNumberFormat="1" applyFont="1" applyFill="1" applyBorder="1" applyAlignment="1">
      <alignment horizontal="center" vertical="top" wrapText="1"/>
    </xf>
    <xf numFmtId="1" fontId="1" fillId="24" borderId="14" xfId="0" applyNumberFormat="1" applyFont="1" applyFill="1" applyBorder="1" applyAlignment="1">
      <alignment horizontal="center" vertical="top" wrapText="1"/>
    </xf>
    <xf numFmtId="1" fontId="1" fillId="24" borderId="23" xfId="0" applyNumberFormat="1" applyFont="1" applyFill="1" applyBorder="1" applyAlignment="1">
      <alignment horizontal="center" vertical="top" wrapText="1"/>
    </xf>
    <xf numFmtId="1" fontId="1" fillId="26" borderId="22" xfId="0" applyNumberFormat="1" applyFont="1" applyFill="1" applyBorder="1" applyAlignment="1">
      <alignment horizontal="center" vertical="top" wrapText="1"/>
    </xf>
    <xf numFmtId="1" fontId="1" fillId="26" borderId="19" xfId="0" applyNumberFormat="1" applyFont="1" applyFill="1" applyBorder="1" applyAlignment="1">
      <alignment horizontal="center" vertical="top" wrapText="1"/>
    </xf>
    <xf numFmtId="1" fontId="1" fillId="26" borderId="24" xfId="0" applyNumberFormat="1" applyFont="1" applyFill="1" applyBorder="1" applyAlignment="1">
      <alignment horizontal="center" vertical="top" wrapText="1"/>
    </xf>
    <xf numFmtId="1" fontId="1" fillId="26" borderId="23" xfId="0" applyNumberFormat="1" applyFont="1" applyFill="1" applyBorder="1" applyAlignment="1">
      <alignment horizontal="center" vertical="top" wrapText="1"/>
    </xf>
    <xf numFmtId="1" fontId="1" fillId="26" borderId="15" xfId="0" applyNumberFormat="1" applyFont="1" applyFill="1" applyBorder="1" applyAlignment="1">
      <alignment horizontal="center" vertical="top" wrapText="1"/>
    </xf>
    <xf numFmtId="1" fontId="1" fillId="26" borderId="14" xfId="0" applyNumberFormat="1" applyFont="1" applyFill="1" applyBorder="1" applyAlignment="1">
      <alignment horizontal="center" vertical="top" wrapText="1"/>
    </xf>
    <xf numFmtId="1" fontId="8" fillId="24" borderId="15" xfId="0" applyNumberFormat="1" applyFont="1" applyFill="1" applyBorder="1" applyAlignment="1">
      <alignment horizontal="center" vertical="top" wrapText="1"/>
    </xf>
    <xf numFmtId="1" fontId="8" fillId="24" borderId="19" xfId="0" applyNumberFormat="1" applyFont="1" applyFill="1" applyBorder="1" applyAlignment="1">
      <alignment horizontal="center" vertical="top" wrapText="1"/>
    </xf>
    <xf numFmtId="1" fontId="8" fillId="24" borderId="21" xfId="0" applyNumberFormat="1" applyFont="1" applyFill="1" applyBorder="1" applyAlignment="1">
      <alignment horizontal="center" vertical="top" wrapText="1"/>
    </xf>
    <xf numFmtId="1" fontId="8" fillId="24" borderId="20" xfId="0" applyNumberFormat="1" applyFont="1" applyFill="1" applyBorder="1" applyAlignment="1">
      <alignment horizontal="center" vertical="top" wrapText="1"/>
    </xf>
    <xf numFmtId="1" fontId="8" fillId="24" borderId="14" xfId="0" applyNumberFormat="1" applyFont="1" applyFill="1" applyBorder="1" applyAlignment="1">
      <alignment horizontal="center" vertical="top" wrapText="1"/>
    </xf>
    <xf numFmtId="1" fontId="8" fillId="24" borderId="23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/>
    </xf>
    <xf numFmtId="0" fontId="17" fillId="0" borderId="12" xfId="0" applyFont="1" applyBorder="1" applyAlignment="1">
      <alignment horizontal="justify" vertical="top"/>
    </xf>
    <xf numFmtId="0" fontId="17" fillId="0" borderId="10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1" fontId="17" fillId="0" borderId="15" xfId="0" applyNumberFormat="1" applyFont="1" applyBorder="1" applyAlignment="1">
      <alignment horizontal="center" vertical="justify" wrapText="1"/>
    </xf>
    <xf numFmtId="1" fontId="17" fillId="0" borderId="22" xfId="0" applyNumberFormat="1" applyFont="1" applyBorder="1" applyAlignment="1">
      <alignment horizontal="center" vertical="justify" wrapText="1"/>
    </xf>
    <xf numFmtId="1" fontId="17" fillId="0" borderId="19" xfId="0" applyNumberFormat="1" applyFont="1" applyBorder="1" applyAlignment="1">
      <alignment horizontal="center" vertical="justify" wrapText="1"/>
    </xf>
    <xf numFmtId="1" fontId="9" fillId="0" borderId="21" xfId="0" applyNumberFormat="1" applyFont="1" applyBorder="1" applyAlignment="1">
      <alignment horizontal="center" vertical="justify" wrapText="1"/>
    </xf>
    <xf numFmtId="1" fontId="9" fillId="0" borderId="0" xfId="0" applyNumberFormat="1" applyFont="1" applyBorder="1" applyAlignment="1">
      <alignment horizontal="center" vertical="justify" wrapText="1"/>
    </xf>
    <xf numFmtId="1" fontId="9" fillId="0" borderId="20" xfId="0" applyNumberFormat="1" applyFont="1" applyBorder="1" applyAlignment="1">
      <alignment horizontal="center" vertical="justify" wrapText="1"/>
    </xf>
    <xf numFmtId="1" fontId="9" fillId="0" borderId="14" xfId="0" applyNumberFormat="1" applyFont="1" applyBorder="1" applyAlignment="1">
      <alignment horizontal="center" vertical="justify" wrapText="1"/>
    </xf>
    <xf numFmtId="1" fontId="9" fillId="0" borderId="24" xfId="0" applyNumberFormat="1" applyFont="1" applyBorder="1" applyAlignment="1">
      <alignment horizontal="center" vertical="justify" wrapText="1"/>
    </xf>
    <xf numFmtId="1" fontId="9" fillId="0" borderId="23" xfId="0" applyNumberFormat="1" applyFont="1" applyBorder="1" applyAlignment="1">
      <alignment horizontal="center" vertical="justify" wrapText="1"/>
    </xf>
    <xf numFmtId="1" fontId="18" fillId="0" borderId="15" xfId="0" applyNumberFormat="1" applyFont="1" applyBorder="1" applyAlignment="1">
      <alignment horizontal="center" vertical="justify" wrapText="1"/>
    </xf>
    <xf numFmtId="1" fontId="18" fillId="0" borderId="22" xfId="0" applyNumberFormat="1" applyFont="1" applyBorder="1" applyAlignment="1">
      <alignment horizontal="center" vertical="justify" wrapText="1"/>
    </xf>
    <xf numFmtId="1" fontId="18" fillId="0" borderId="19" xfId="0" applyNumberFormat="1" applyFont="1" applyBorder="1" applyAlignment="1">
      <alignment horizontal="center" vertical="justify" wrapText="1"/>
    </xf>
    <xf numFmtId="1" fontId="20" fillId="0" borderId="21" xfId="0" applyNumberFormat="1" applyFont="1" applyBorder="1" applyAlignment="1">
      <alignment horizontal="center" vertical="justify" wrapText="1"/>
    </xf>
    <xf numFmtId="1" fontId="20" fillId="0" borderId="0" xfId="0" applyNumberFormat="1" applyFont="1" applyBorder="1" applyAlignment="1">
      <alignment horizontal="center" vertical="justify" wrapText="1"/>
    </xf>
    <xf numFmtId="1" fontId="20" fillId="0" borderId="20" xfId="0" applyNumberFormat="1" applyFont="1" applyBorder="1" applyAlignment="1">
      <alignment horizontal="center" vertical="justify" wrapText="1"/>
    </xf>
    <xf numFmtId="1" fontId="20" fillId="0" borderId="14" xfId="0" applyNumberFormat="1" applyFont="1" applyBorder="1" applyAlignment="1">
      <alignment horizontal="center" vertical="justify" wrapText="1"/>
    </xf>
    <xf numFmtId="1" fontId="20" fillId="0" borderId="24" xfId="0" applyNumberFormat="1" applyFont="1" applyBorder="1" applyAlignment="1">
      <alignment horizontal="center" vertical="justify" wrapText="1"/>
    </xf>
    <xf numFmtId="1" fontId="20" fillId="0" borderId="23" xfId="0" applyNumberFormat="1" applyFont="1" applyBorder="1" applyAlignment="1">
      <alignment horizontal="center" vertical="justify" wrapText="1"/>
    </xf>
    <xf numFmtId="1" fontId="17" fillId="26" borderId="16" xfId="0" applyNumberFormat="1" applyFont="1" applyFill="1" applyBorder="1" applyAlignment="1">
      <alignment horizontal="center"/>
    </xf>
    <xf numFmtId="1" fontId="17" fillId="26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8" fillId="24" borderId="18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14" fillId="26" borderId="22" xfId="0" applyNumberFormat="1" applyFont="1" applyFill="1" applyBorder="1" applyAlignment="1">
      <alignment horizontal="center"/>
    </xf>
    <xf numFmtId="1" fontId="14" fillId="24" borderId="13" xfId="0" applyNumberFormat="1" applyFont="1" applyFill="1" applyBorder="1" applyAlignment="1">
      <alignment horizontal="center"/>
    </xf>
    <xf numFmtId="1" fontId="17" fillId="24" borderId="13" xfId="0" applyNumberFormat="1" applyFont="1" applyFill="1" applyBorder="1" applyAlignment="1">
      <alignment horizontal="center"/>
    </xf>
    <xf numFmtId="1" fontId="17" fillId="24" borderId="16" xfId="0" applyNumberFormat="1" applyFont="1" applyFill="1" applyBorder="1" applyAlignment="1">
      <alignment horizontal="center"/>
    </xf>
    <xf numFmtId="1" fontId="14" fillId="26" borderId="13" xfId="0" applyNumberFormat="1" applyFont="1" applyFill="1" applyBorder="1" applyAlignment="1">
      <alignment horizontal="center"/>
    </xf>
    <xf numFmtId="1" fontId="17" fillId="26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6934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BANKWISE POSITION OF BRANCHES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TABLE NO. 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AS ON 31.12.2009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7</xdr:col>
      <xdr:colOff>0</xdr:colOff>
      <xdr:row>51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810500"/>
          <a:ext cx="69342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BANKWISE POSITION OF BRANCHES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TABLE NO. 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AS ON 31.12.2009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0639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600075</xdr:colOff>
      <xdr:row>53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258175"/>
          <a:ext cx="10639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590550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103155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PROGRESS UNDER ANTYODIYA SWAROJGAR SCHEME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590550</xdr:colOff>
      <xdr:row>53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334375"/>
          <a:ext cx="10334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ANTYODIYA SWAROJGAR SCHEME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 ASSISTANCE TO SCHEDULED CASTE  2009-10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( 01.04.2009 TO 31.12.2009)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17</xdr:col>
      <xdr:colOff>0</xdr:colOff>
      <xdr:row>51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525" y="795337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 ASSISTANCE TO SCHEDULED CASTE  2009-10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( 01.04.2009 TO 31.12.2009)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FINANCIAL ASSISTANCE TO SCHEDULED TRIBE   2009-10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01.04.2009 TO 31.12.2009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17</xdr:col>
      <xdr:colOff>0</xdr:colOff>
      <xdr:row>51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943850"/>
          <a:ext cx="11277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FINANCIAL ASSISTANCE TO SCHEDULED TRIBE 2009-10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01.04.2009 TO 31.12.2009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486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PROGRESS OF IMPLEMENTATION OF KISAN CREDIT CARD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TABLE NO. 19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49</xdr:row>
      <xdr:rowOff>180975</xdr:rowOff>
    </xdr:from>
    <xdr:to>
      <xdr:col>9</xdr:col>
      <xdr:colOff>19050</xdr:colOff>
      <xdr:row>54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8248650"/>
          <a:ext cx="85058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PROGRESS OF IMPLEMENTATION OF KISAN CREDIT CARD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19050</xdr:colOff>
      <xdr:row>3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" y="0"/>
          <a:ext cx="10315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TABLE NO. 20                                                                                                                                                                   .                                                                     AS ON 31.12.2009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(Amt. in lacs)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9525</xdr:colOff>
      <xdr:row>53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296275"/>
          <a:ext cx="103155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            TABLE NO. 20                                                                                     .                                                              AS ON 31.12.2009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(Amt. in lacs)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571500</xdr:colOff>
      <xdr:row>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99345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13</xdr:col>
      <xdr:colOff>571500</xdr:colOff>
      <xdr:row>53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39125"/>
          <a:ext cx="993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85775"/>
          <a:ext cx="8001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                                                                        Vscy u- &amp; 35                                                                            fgUnh jkT; Hkk"kk dh izxfr fnlEcj 2009 dh fLFkfr                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                                                                                          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9525"/>
          <a:ext cx="1138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LOAN  OUTSTANDING TO MINIORITY COMMUNITIES (RELIGION WISE)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9525</xdr:colOff>
      <xdr:row>48</xdr:row>
      <xdr:rowOff>57150</xdr:rowOff>
    </xdr:from>
    <xdr:to>
      <xdr:col>16</xdr:col>
      <xdr:colOff>9525</xdr:colOff>
      <xdr:row>53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8039100"/>
          <a:ext cx="113823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LOAN OUTSTANDING TO MINIORITY COMMUNITIES (RELIGION WISE)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828675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68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LOANS DISBURSED  TO MINIORITY COMMUNITIES (RELIGION WISE) DURING FINANCIAL YEAR 2009-2010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(01.04.2009 -  31.12.2009)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828675</xdr:colOff>
      <xdr:row>50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039100"/>
          <a:ext cx="11268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LOANS DISBURSED  TO MINIORITY COMMUNITIES (RELIGION WISE) DURING FINANCIAL YEAR 2009-2010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(01.04.2009 -  31.12.2009)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10544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 INFORMATION REGARDING DEPOSITS, ADVANCES AND C.D.RATIO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AS ON 31.12.2009  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(Amt. in lacs)                                        (Amt. in lacs)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0</xdr:colOff>
      <xdr:row>51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991475"/>
          <a:ext cx="10534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 INFORMATION REGARDING DEPOSITS, ADVANCES AND C.D.RATIO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TABLE NO. 2      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AS ON 31.12.2009 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98583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31.12.2009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0</xdr:colOff>
      <xdr:row>51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981950"/>
          <a:ext cx="98583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31.12.2009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AS ON 31.12.2009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0</xdr:colOff>
      <xdr:row>51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95337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AS ON 31.12.2009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346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TABLE NO. 8(I)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9525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039100"/>
          <a:ext cx="13477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TABLE NO. 8(I)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19</xdr:col>
      <xdr:colOff>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3735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AS ON 31.12.2009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19</xdr:col>
      <xdr:colOff>0</xdr:colOff>
      <xdr:row>51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8029575"/>
          <a:ext cx="13735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AS ON 31.12.2009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23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0"/>
          <a:ext cx="12239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TABLE NO. 8(IV)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31.12.2009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47</xdr:row>
      <xdr:rowOff>152400</xdr:rowOff>
    </xdr:from>
    <xdr:to>
      <xdr:col>22</xdr:col>
      <xdr:colOff>495300</xdr:colOff>
      <xdr:row>51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8391525"/>
          <a:ext cx="122396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 8(IV)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31.12.2009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9050"/>
          <a:ext cx="10715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AGR,SME,OPS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TABLE NO.8 (III)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AS ON 31.12.2009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47</xdr:row>
      <xdr:rowOff>171450</xdr:rowOff>
    </xdr:from>
    <xdr:to>
      <xdr:col>14</xdr:col>
      <xdr:colOff>0</xdr:colOff>
      <xdr:row>51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067675"/>
          <a:ext cx="10715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AGR,SME,OPS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TABLE NO. 8(III)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AS ON 31.12.2009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619125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972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(RECOVERY OF DUES) ACT. 1981 / BRISC FOR THE PERIOD ENDED DEC . 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13</xdr:col>
      <xdr:colOff>600075</xdr:colOff>
      <xdr:row>52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8305800"/>
          <a:ext cx="89535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(RECOVERY OF DUES) ACT. 1981 / BRISC FOR THE PERIOD ENDED DEC. 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0229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(RECOVERY OF DUES) ACT. 1981 / BRISC FOR THE PERIOD ENDED DEC.. 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14</xdr:col>
      <xdr:colOff>0</xdr:colOff>
      <xdr:row>52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153400"/>
          <a:ext cx="102298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(RECOVERY OF DUES) ACT. 1981 / BRISC FOR THE PERIOD ENDED DEC. 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(Amt. in Lacs)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9525"/>
          <a:ext cx="10220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COMPREHENSIVE POLICY PACKAGE FOR MSME SECTOR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31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31.12.2009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14</xdr:col>
      <xdr:colOff>0</xdr:colOff>
      <xdr:row>54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248650"/>
          <a:ext cx="10220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COMPREHENSIVE POLICY PACKAGE FOR MSME SECTOR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31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31.12.2009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1343025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058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BANKWISE INFORMATION IN RESPECT OF MPEB, IDBI AND SIDBI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33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67675"/>
          <a:ext cx="7096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27                       BANKWISE INFORMATION IN RESPECT OF MPEB, IDBI AND SIDBI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AS ON 31.03.2005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(Amt. in lacs)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4391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BANKWISE INFORMATION REGARDING DEPOSITS, ADVANCES &amp; C.D.RATIO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AS ON 31.12.2009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(Amt. in lacs)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10</xdr:col>
      <xdr:colOff>0</xdr:colOff>
      <xdr:row>53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962900"/>
          <a:ext cx="8439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REGARDING DEPOSITS, ADVANCES &amp; C.D.RATIO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AS ON 31.12.2009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534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31.12.2009 (APR 09 - DEC. 09)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0</xdr:colOff>
      <xdr:row>53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077200"/>
          <a:ext cx="953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AS ON 31.12.2008 (APR 09 - DEC. 09)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7439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7</xdr:col>
      <xdr:colOff>0</xdr:colOff>
      <xdr:row>51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7934325"/>
          <a:ext cx="7419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9925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12</xdr:col>
      <xdr:colOff>0</xdr:colOff>
      <xdr:row>51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7734300"/>
          <a:ext cx="9925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5895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                 PROGRESS UNDER NO-FRILL A/C / GCC / ONE TIME SETTLEMENT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AS ON 31.12.2009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47625</xdr:colOff>
      <xdr:row>46</xdr:row>
      <xdr:rowOff>152400</xdr:rowOff>
    </xdr:from>
    <xdr:to>
      <xdr:col>5</xdr:col>
      <xdr:colOff>19050</xdr:colOff>
      <xdr:row>49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7686675"/>
          <a:ext cx="5886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                 PROGRESS UNDER NO-FRESH A/C / GCC / ONE TIME SETTLEMENT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AS ON 31.12.2009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EDUCATION LOAN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TABLE NO. 28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14</xdr:col>
      <xdr:colOff>9525</xdr:colOff>
      <xdr:row>50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229600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EDUCATION LOAN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TABLE NO. 28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17</xdr:col>
      <xdr:colOff>600075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9050"/>
          <a:ext cx="1242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NATIONAL HORTICULTURE MISSION  2009-10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AS ON 31.12.2009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18</xdr:col>
      <xdr:colOff>0</xdr:colOff>
      <xdr:row>53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277225"/>
          <a:ext cx="12439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NATIONAL HORTICULTURE MISSION 2009-10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AS ON 31.12.2009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0</xdr:colOff>
      <xdr:row>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1061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DATA ON COVERAGE OF WOMEN 2009-10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(Amt. In 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16</xdr:col>
      <xdr:colOff>0</xdr:colOff>
      <xdr:row>52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8124825"/>
          <a:ext cx="111061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DATA ON COVERAGE OF WOMEN 2009-10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AS ON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(Amt. In 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9525</xdr:rowOff>
    </xdr:from>
    <xdr:to>
      <xdr:col>19</xdr:col>
      <xdr:colOff>666750</xdr:colOff>
      <xdr:row>52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" y="8191500"/>
          <a:ext cx="12849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FRESH ADVANCES TO SME SECTOR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34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AS ON   31.12.2009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19</xdr:col>
      <xdr:colOff>666750</xdr:colOff>
      <xdr:row>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525" y="9525"/>
          <a:ext cx="12849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FRESH ADVANCES TO SME SECTOR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34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AS ON   31.12.2009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9525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899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STATEMENT OF CREDIT + INVESTMENT TO DEPOSIT RATIO IN M.P.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4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AS ON 31.12.2009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(Amt in lacs)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9</xdr:col>
      <xdr:colOff>1133475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991475"/>
          <a:ext cx="8963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STATEMENT OF CREDIT + INVESTMENT TO DEPOSIT RATIO IN M.P.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4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(Amt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1125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OF PRIORITY SECTOR,DIRECT AGRICULTURE,WEAKER SECTION  ADVANCES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5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31.12.2009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(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Amt in lacs)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0</xdr:colOff>
      <xdr:row>53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0"/>
          <a:ext cx="11134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NKWISE INFORMATION OF PRIORITY SECTOR,DIRECT AGRICULTURE,WEAKER SECTION  ADVANCES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5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AS ON 31.12.2009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9525</xdr:colOff>
      <xdr:row>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" y="0"/>
          <a:ext cx="642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NATIONAL GOALS AS ON 31.12.2009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6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8</xdr:col>
      <xdr:colOff>0</xdr:colOff>
      <xdr:row>51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7991475"/>
          <a:ext cx="6419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NATIONAL GOALS AS ON 31.12.2009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TABLE NO. 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(Amt. in lacs)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581025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14144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7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AS ON 31.12.2009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21</xdr:col>
      <xdr:colOff>581025</xdr:colOff>
      <xdr:row>54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934450"/>
          <a:ext cx="141446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7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31.12.2009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162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BANKWISE ACHIEVEMENTS UNDER ACP 2009-2010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AS ON : 31.12.2009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(Amt. in lacs)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0</xdr:colOff>
      <xdr:row>53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296275"/>
          <a:ext cx="8162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BANKWISE ACHIEVEMENTS UNDER ACP 2009-2010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AS ON : 31.12.2009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(Amt. in lacs)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ACHIEVEMENTS UNDER ACP 2009-2010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AS ON :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(Amt. in lacs)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0</xdr:colOff>
      <xdr:row>53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66775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ACHIEVEMENTS UNDER ACP 2009-2010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AS ON : 31.12.2009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(Amt. in lacs)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85" zoomScaleNormal="85" zoomScaleSheetLayoutView="100" zoomScalePageLayoutView="0" workbookViewId="0" topLeftCell="A46">
      <selection activeCell="F23" sqref="F23"/>
    </sheetView>
  </sheetViews>
  <sheetFormatPr defaultColWidth="9.140625" defaultRowHeight="12.75"/>
  <cols>
    <col min="1" max="1" width="4.28125" style="194" customWidth="1"/>
    <col min="2" max="2" width="26.28125" style="194" customWidth="1"/>
    <col min="3" max="6" width="14.7109375" style="40" customWidth="1"/>
    <col min="7" max="7" width="14.7109375" style="194" customWidth="1"/>
    <col min="8" max="8" width="9.57421875" style="103" customWidth="1"/>
    <col min="9" max="16384" width="9.140625" style="103" customWidth="1"/>
  </cols>
  <sheetData>
    <row r="1" spans="1:7" ht="15">
      <c r="A1" s="37"/>
      <c r="B1" s="37"/>
      <c r="C1" s="37"/>
      <c r="D1" s="37"/>
      <c r="E1" s="37"/>
      <c r="F1" s="37"/>
      <c r="G1" s="193"/>
    </row>
    <row r="2" spans="1:10" ht="15">
      <c r="A2" s="37"/>
      <c r="B2" s="37"/>
      <c r="C2" s="37"/>
      <c r="D2" s="37"/>
      <c r="E2" s="37"/>
      <c r="F2" s="37"/>
      <c r="I2" s="105"/>
      <c r="J2" s="105"/>
    </row>
    <row r="3" spans="3:10" ht="15">
      <c r="C3" s="38"/>
      <c r="D3" s="38"/>
      <c r="E3" s="38"/>
      <c r="F3" s="38"/>
      <c r="I3" s="105"/>
      <c r="J3" s="105"/>
    </row>
    <row r="4" spans="1:10" ht="7.5" customHeight="1">
      <c r="A4" s="495"/>
      <c r="B4" s="495"/>
      <c r="C4" s="41"/>
      <c r="D4" s="41"/>
      <c r="E4" s="41"/>
      <c r="F4" s="41"/>
      <c r="G4" s="195"/>
      <c r="H4" s="105"/>
      <c r="I4" s="105"/>
      <c r="J4" s="105"/>
    </row>
    <row r="5" spans="1:10" ht="14.25">
      <c r="A5" s="493" t="s">
        <v>273</v>
      </c>
      <c r="B5" s="493" t="s">
        <v>5</v>
      </c>
      <c r="C5" s="42" t="s">
        <v>0</v>
      </c>
      <c r="D5" s="42" t="s">
        <v>1</v>
      </c>
      <c r="E5" s="42" t="s">
        <v>2</v>
      </c>
      <c r="F5" s="42" t="s">
        <v>3</v>
      </c>
      <c r="G5" s="42" t="s">
        <v>397</v>
      </c>
      <c r="H5" s="108"/>
      <c r="I5" s="108"/>
      <c r="J5" s="108"/>
    </row>
    <row r="6" spans="1:10" ht="12.75">
      <c r="A6" s="54">
        <v>1</v>
      </c>
      <c r="B6" s="57" t="s">
        <v>7</v>
      </c>
      <c r="C6" s="57">
        <v>76</v>
      </c>
      <c r="D6" s="57">
        <v>23</v>
      </c>
      <c r="E6" s="57">
        <v>56</v>
      </c>
      <c r="F6" s="57">
        <f>C6+D6+E6</f>
        <v>155</v>
      </c>
      <c r="G6" s="57">
        <v>2</v>
      </c>
      <c r="H6" s="19"/>
      <c r="I6" s="603"/>
      <c r="J6" s="603"/>
    </row>
    <row r="7" spans="1:8" ht="12.75">
      <c r="A7" s="54">
        <v>2</v>
      </c>
      <c r="B7" s="57" t="s">
        <v>8</v>
      </c>
      <c r="C7" s="57">
        <v>0</v>
      </c>
      <c r="D7" s="57">
        <v>0</v>
      </c>
      <c r="E7" s="57">
        <v>14</v>
      </c>
      <c r="F7" s="57">
        <f aca="true" t="shared" si="0" ref="F7:F46">C7+D7+E7</f>
        <v>14</v>
      </c>
      <c r="G7" s="57">
        <v>0</v>
      </c>
      <c r="H7" s="19"/>
    </row>
    <row r="8" spans="1:8" ht="12.75">
      <c r="A8" s="54">
        <v>3</v>
      </c>
      <c r="B8" s="57" t="s">
        <v>9</v>
      </c>
      <c r="C8" s="57">
        <v>18</v>
      </c>
      <c r="D8" s="57">
        <v>16</v>
      </c>
      <c r="E8" s="57">
        <v>44</v>
      </c>
      <c r="F8" s="57">
        <f t="shared" si="0"/>
        <v>78</v>
      </c>
      <c r="G8" s="57">
        <v>1</v>
      </c>
      <c r="H8" s="19"/>
    </row>
    <row r="9" spans="1:8" ht="12.75">
      <c r="A9" s="54">
        <v>4</v>
      </c>
      <c r="B9" s="57" t="s">
        <v>10</v>
      </c>
      <c r="C9" s="57">
        <v>130</v>
      </c>
      <c r="D9" s="57">
        <v>60</v>
      </c>
      <c r="E9" s="57">
        <v>82</v>
      </c>
      <c r="F9" s="57">
        <f t="shared" si="0"/>
        <v>272</v>
      </c>
      <c r="G9" s="57">
        <v>5</v>
      </c>
      <c r="H9" s="19"/>
    </row>
    <row r="10" spans="1:8" ht="12.75">
      <c r="A10" s="54">
        <v>5</v>
      </c>
      <c r="B10" s="57" t="s">
        <v>11</v>
      </c>
      <c r="C10" s="57">
        <v>73</v>
      </c>
      <c r="D10" s="57">
        <v>14</v>
      </c>
      <c r="E10" s="57">
        <v>27</v>
      </c>
      <c r="F10" s="57">
        <f t="shared" si="0"/>
        <v>114</v>
      </c>
      <c r="G10" s="57">
        <v>0</v>
      </c>
      <c r="H10" s="19"/>
    </row>
    <row r="11" spans="1:8" ht="12.75">
      <c r="A11" s="54">
        <v>6</v>
      </c>
      <c r="B11" s="57" t="s">
        <v>12</v>
      </c>
      <c r="C11" s="57">
        <v>7</v>
      </c>
      <c r="D11" s="57">
        <v>11</v>
      </c>
      <c r="E11" s="57">
        <v>33</v>
      </c>
      <c r="F11" s="57">
        <f t="shared" si="0"/>
        <v>51</v>
      </c>
      <c r="G11" s="57">
        <v>1</v>
      </c>
      <c r="H11" s="19"/>
    </row>
    <row r="12" spans="1:8" ht="12.75">
      <c r="A12" s="54">
        <v>7</v>
      </c>
      <c r="B12" s="57" t="s">
        <v>13</v>
      </c>
      <c r="C12" s="57">
        <v>201</v>
      </c>
      <c r="D12" s="57">
        <v>106</v>
      </c>
      <c r="E12" s="57">
        <v>69</v>
      </c>
      <c r="F12" s="57">
        <f t="shared" si="0"/>
        <v>376</v>
      </c>
      <c r="G12" s="57">
        <v>7</v>
      </c>
      <c r="H12" s="19"/>
    </row>
    <row r="13" spans="1:8" ht="12.75">
      <c r="A13" s="54">
        <v>8</v>
      </c>
      <c r="B13" s="57" t="s">
        <v>162</v>
      </c>
      <c r="C13" s="57">
        <v>0</v>
      </c>
      <c r="D13" s="57">
        <v>1</v>
      </c>
      <c r="E13" s="57">
        <v>16</v>
      </c>
      <c r="F13" s="57">
        <f t="shared" si="0"/>
        <v>17</v>
      </c>
      <c r="G13" s="57">
        <v>0</v>
      </c>
      <c r="H13" s="19"/>
    </row>
    <row r="14" spans="1:8" ht="12.75">
      <c r="A14" s="54">
        <v>9</v>
      </c>
      <c r="B14" s="57" t="s">
        <v>14</v>
      </c>
      <c r="C14" s="57">
        <v>4</v>
      </c>
      <c r="D14" s="57">
        <v>4</v>
      </c>
      <c r="E14" s="57">
        <v>29</v>
      </c>
      <c r="F14" s="57">
        <f t="shared" si="0"/>
        <v>37</v>
      </c>
      <c r="G14" s="57">
        <v>3</v>
      </c>
      <c r="H14" s="19"/>
    </row>
    <row r="15" spans="1:8" ht="12.75">
      <c r="A15" s="54">
        <v>10</v>
      </c>
      <c r="B15" s="57" t="s">
        <v>15</v>
      </c>
      <c r="C15" s="57">
        <v>0</v>
      </c>
      <c r="D15" s="57">
        <v>2</v>
      </c>
      <c r="E15" s="57">
        <v>14</v>
      </c>
      <c r="F15" s="57">
        <f t="shared" si="0"/>
        <v>16</v>
      </c>
      <c r="G15" s="57">
        <v>0</v>
      </c>
      <c r="H15" s="19"/>
    </row>
    <row r="16" spans="1:8" ht="12.75">
      <c r="A16" s="54">
        <v>11</v>
      </c>
      <c r="B16" s="57" t="s">
        <v>16</v>
      </c>
      <c r="C16" s="57">
        <v>1</v>
      </c>
      <c r="D16" s="57">
        <v>0</v>
      </c>
      <c r="E16" s="57">
        <v>18</v>
      </c>
      <c r="F16" s="57">
        <f>C16+D16+E16</f>
        <v>19</v>
      </c>
      <c r="G16" s="57">
        <v>0</v>
      </c>
      <c r="H16" s="19"/>
    </row>
    <row r="17" spans="1:8" ht="12.75">
      <c r="A17" s="54">
        <v>12</v>
      </c>
      <c r="B17" s="57" t="s">
        <v>276</v>
      </c>
      <c r="C17" s="57">
        <v>0</v>
      </c>
      <c r="D17" s="57">
        <v>8</v>
      </c>
      <c r="E17" s="57">
        <v>40</v>
      </c>
      <c r="F17" s="57">
        <f t="shared" si="0"/>
        <v>48</v>
      </c>
      <c r="G17" s="57">
        <v>1</v>
      </c>
      <c r="H17" s="19"/>
    </row>
    <row r="18" spans="1:8" ht="12.75">
      <c r="A18" s="54">
        <v>13</v>
      </c>
      <c r="B18" s="57" t="s">
        <v>164</v>
      </c>
      <c r="C18" s="57">
        <v>3</v>
      </c>
      <c r="D18" s="57">
        <v>10</v>
      </c>
      <c r="E18" s="57">
        <v>13</v>
      </c>
      <c r="F18" s="57">
        <f t="shared" si="0"/>
        <v>26</v>
      </c>
      <c r="G18" s="57">
        <v>0</v>
      </c>
      <c r="H18" s="19"/>
    </row>
    <row r="19" spans="1:8" ht="12.75">
      <c r="A19" s="54">
        <v>14</v>
      </c>
      <c r="B19" s="57" t="s">
        <v>77</v>
      </c>
      <c r="C19" s="57">
        <v>74</v>
      </c>
      <c r="D19" s="57">
        <v>46</v>
      </c>
      <c r="E19" s="57">
        <v>58</v>
      </c>
      <c r="F19" s="57">
        <f t="shared" si="0"/>
        <v>178</v>
      </c>
      <c r="G19" s="57">
        <v>2</v>
      </c>
      <c r="H19" s="19"/>
    </row>
    <row r="20" spans="1:8" ht="12.75">
      <c r="A20" s="54">
        <v>15</v>
      </c>
      <c r="B20" s="57" t="s">
        <v>105</v>
      </c>
      <c r="C20" s="57">
        <v>9</v>
      </c>
      <c r="D20" s="57">
        <v>7</v>
      </c>
      <c r="E20" s="57">
        <v>33</v>
      </c>
      <c r="F20" s="57">
        <f t="shared" si="0"/>
        <v>49</v>
      </c>
      <c r="G20" s="57">
        <v>0</v>
      </c>
      <c r="H20" s="19"/>
    </row>
    <row r="21" spans="1:8" ht="12.75">
      <c r="A21" s="54">
        <v>16</v>
      </c>
      <c r="B21" s="57" t="s">
        <v>20</v>
      </c>
      <c r="C21" s="57">
        <v>42</v>
      </c>
      <c r="D21" s="57">
        <v>18</v>
      </c>
      <c r="E21" s="57">
        <v>49</v>
      </c>
      <c r="F21" s="57">
        <f t="shared" si="0"/>
        <v>109</v>
      </c>
      <c r="G21" s="57">
        <v>1</v>
      </c>
      <c r="H21" s="19"/>
    </row>
    <row r="22" spans="1:8" ht="12.75">
      <c r="A22" s="54">
        <v>17</v>
      </c>
      <c r="B22" s="57" t="s">
        <v>21</v>
      </c>
      <c r="C22" s="57">
        <v>79</v>
      </c>
      <c r="D22" s="57">
        <v>48</v>
      </c>
      <c r="E22" s="57">
        <v>68</v>
      </c>
      <c r="F22" s="57">
        <f t="shared" si="0"/>
        <v>195</v>
      </c>
      <c r="G22" s="57">
        <v>2</v>
      </c>
      <c r="H22" s="19"/>
    </row>
    <row r="23" spans="1:8" ht="12.75">
      <c r="A23" s="54">
        <v>18</v>
      </c>
      <c r="B23" s="57" t="s">
        <v>19</v>
      </c>
      <c r="C23" s="57">
        <v>0</v>
      </c>
      <c r="D23" s="57">
        <v>0</v>
      </c>
      <c r="E23" s="57">
        <v>10</v>
      </c>
      <c r="F23" s="57">
        <f t="shared" si="0"/>
        <v>10</v>
      </c>
      <c r="G23" s="57">
        <v>0</v>
      </c>
      <c r="H23" s="19"/>
    </row>
    <row r="24" spans="1:8" ht="12.75">
      <c r="A24" s="54">
        <v>19</v>
      </c>
      <c r="B24" s="57" t="s">
        <v>124</v>
      </c>
      <c r="C24" s="57">
        <v>0</v>
      </c>
      <c r="D24" s="57">
        <v>0</v>
      </c>
      <c r="E24" s="57">
        <v>13</v>
      </c>
      <c r="F24" s="57">
        <f t="shared" si="0"/>
        <v>13</v>
      </c>
      <c r="G24" s="57">
        <v>0</v>
      </c>
      <c r="H24" s="19"/>
    </row>
    <row r="25" spans="1:8" ht="12.75">
      <c r="A25" s="54"/>
      <c r="B25" s="58" t="s">
        <v>224</v>
      </c>
      <c r="C25" s="58">
        <f>SUM(C6:C24)</f>
        <v>717</v>
      </c>
      <c r="D25" s="58">
        <f>SUM(D6:D24)</f>
        <v>374</v>
      </c>
      <c r="E25" s="58">
        <f>SUM(E6:E24)</f>
        <v>686</v>
      </c>
      <c r="F25" s="58">
        <f>SUM(F6:F24)</f>
        <v>1777</v>
      </c>
      <c r="G25" s="58">
        <f>SUM(G6:G24)</f>
        <v>25</v>
      </c>
      <c r="H25" s="19"/>
    </row>
    <row r="26" spans="1:8" ht="12.75">
      <c r="A26" s="54">
        <v>20</v>
      </c>
      <c r="B26" s="57" t="s">
        <v>23</v>
      </c>
      <c r="C26" s="57">
        <v>0</v>
      </c>
      <c r="D26" s="57">
        <v>0</v>
      </c>
      <c r="E26" s="57">
        <v>4</v>
      </c>
      <c r="F26" s="57">
        <f t="shared" si="0"/>
        <v>4</v>
      </c>
      <c r="G26" s="57">
        <v>0</v>
      </c>
      <c r="H26" s="19"/>
    </row>
    <row r="27" spans="1:8" ht="12.75">
      <c r="A27" s="54">
        <v>21</v>
      </c>
      <c r="B27" s="57" t="s">
        <v>269</v>
      </c>
      <c r="C27" s="57">
        <v>0</v>
      </c>
      <c r="D27" s="57">
        <v>0</v>
      </c>
      <c r="E27" s="57">
        <v>2</v>
      </c>
      <c r="F27" s="57">
        <f t="shared" si="0"/>
        <v>2</v>
      </c>
      <c r="G27" s="57">
        <v>0</v>
      </c>
      <c r="H27" s="19"/>
    </row>
    <row r="28" spans="1:8" ht="12.75">
      <c r="A28" s="54">
        <v>22</v>
      </c>
      <c r="B28" s="57" t="s">
        <v>169</v>
      </c>
      <c r="C28" s="57">
        <v>0</v>
      </c>
      <c r="D28" s="57">
        <v>0</v>
      </c>
      <c r="E28" s="57">
        <v>6</v>
      </c>
      <c r="F28" s="57">
        <f t="shared" si="0"/>
        <v>6</v>
      </c>
      <c r="G28" s="57">
        <v>1</v>
      </c>
      <c r="H28" s="19"/>
    </row>
    <row r="29" spans="1:8" ht="12.75">
      <c r="A29" s="54">
        <v>23</v>
      </c>
      <c r="B29" s="57" t="s">
        <v>22</v>
      </c>
      <c r="C29" s="57">
        <v>0</v>
      </c>
      <c r="D29" s="57">
        <v>0</v>
      </c>
      <c r="E29" s="57">
        <v>2</v>
      </c>
      <c r="F29" s="57">
        <f t="shared" si="0"/>
        <v>2</v>
      </c>
      <c r="G29" s="57">
        <v>0</v>
      </c>
      <c r="H29" s="19"/>
    </row>
    <row r="30" spans="1:8" ht="12.75">
      <c r="A30" s="54">
        <v>24</v>
      </c>
      <c r="B30" s="57" t="s">
        <v>141</v>
      </c>
      <c r="C30" s="57">
        <v>0</v>
      </c>
      <c r="D30" s="57">
        <v>1</v>
      </c>
      <c r="E30" s="57">
        <v>7</v>
      </c>
      <c r="F30" s="57">
        <f t="shared" si="0"/>
        <v>8</v>
      </c>
      <c r="G30" s="57">
        <v>0</v>
      </c>
      <c r="H30" s="19"/>
    </row>
    <row r="31" spans="1:8" ht="12.75">
      <c r="A31" s="54">
        <v>25</v>
      </c>
      <c r="B31" s="57" t="s">
        <v>18</v>
      </c>
      <c r="C31" s="57">
        <v>194</v>
      </c>
      <c r="D31" s="57">
        <v>231</v>
      </c>
      <c r="E31" s="57">
        <v>196</v>
      </c>
      <c r="F31" s="57">
        <f t="shared" si="0"/>
        <v>621</v>
      </c>
      <c r="G31" s="57">
        <v>4</v>
      </c>
      <c r="H31" s="19"/>
    </row>
    <row r="32" spans="1:8" ht="12.75">
      <c r="A32" s="54">
        <v>26</v>
      </c>
      <c r="B32" s="57" t="s">
        <v>104</v>
      </c>
      <c r="C32" s="57">
        <v>111</v>
      </c>
      <c r="D32" s="57">
        <v>127</v>
      </c>
      <c r="E32" s="57">
        <v>122</v>
      </c>
      <c r="F32" s="57">
        <f t="shared" si="0"/>
        <v>360</v>
      </c>
      <c r="G32" s="57">
        <v>3</v>
      </c>
      <c r="H32" s="19"/>
    </row>
    <row r="33" spans="1:8" ht="12.75">
      <c r="A33" s="54"/>
      <c r="B33" s="58" t="s">
        <v>226</v>
      </c>
      <c r="C33" s="58">
        <f>SUM(C26:C32)</f>
        <v>305</v>
      </c>
      <c r="D33" s="58">
        <f>SUM(D26:D32)</f>
        <v>359</v>
      </c>
      <c r="E33" s="58">
        <f>SUM(E26:E32)</f>
        <v>339</v>
      </c>
      <c r="F33" s="58">
        <f>SUM(F26:F32)</f>
        <v>1003</v>
      </c>
      <c r="G33" s="58">
        <f>SUM(G26:G32)</f>
        <v>8</v>
      </c>
      <c r="H33" s="19"/>
    </row>
    <row r="34" spans="1:8" ht="12.75">
      <c r="A34" s="54">
        <v>27</v>
      </c>
      <c r="B34" s="57" t="s">
        <v>163</v>
      </c>
      <c r="C34" s="57">
        <v>0</v>
      </c>
      <c r="D34" s="57">
        <v>5</v>
      </c>
      <c r="E34" s="57">
        <v>17</v>
      </c>
      <c r="F34" s="57">
        <f t="shared" si="0"/>
        <v>22</v>
      </c>
      <c r="G34" s="57">
        <v>0</v>
      </c>
      <c r="H34" s="19"/>
    </row>
    <row r="35" spans="1:8" ht="12.75">
      <c r="A35" s="54">
        <v>28</v>
      </c>
      <c r="B35" s="57" t="s">
        <v>231</v>
      </c>
      <c r="C35" s="57">
        <v>2</v>
      </c>
      <c r="D35" s="57">
        <v>16</v>
      </c>
      <c r="E35" s="57">
        <v>34</v>
      </c>
      <c r="F35" s="57">
        <f t="shared" si="0"/>
        <v>52</v>
      </c>
      <c r="G35" s="57">
        <v>0</v>
      </c>
      <c r="H35" s="19"/>
    </row>
    <row r="36" spans="1:8" ht="12.75">
      <c r="A36" s="54">
        <v>29</v>
      </c>
      <c r="B36" s="57" t="s">
        <v>218</v>
      </c>
      <c r="C36" s="57">
        <v>0</v>
      </c>
      <c r="D36" s="57">
        <v>22</v>
      </c>
      <c r="E36" s="57">
        <v>34</v>
      </c>
      <c r="F36" s="57">
        <f t="shared" si="0"/>
        <v>56</v>
      </c>
      <c r="G36" s="57">
        <v>0</v>
      </c>
      <c r="H36" s="19"/>
    </row>
    <row r="37" spans="1:8" ht="12.75">
      <c r="A37" s="54">
        <v>30</v>
      </c>
      <c r="B37" s="57" t="s">
        <v>236</v>
      </c>
      <c r="C37" s="57">
        <v>0</v>
      </c>
      <c r="D37" s="57">
        <v>2</v>
      </c>
      <c r="E37" s="57">
        <v>27</v>
      </c>
      <c r="F37" s="57">
        <f t="shared" si="0"/>
        <v>29</v>
      </c>
      <c r="G37" s="57">
        <v>0</v>
      </c>
      <c r="H37" s="19"/>
    </row>
    <row r="38" spans="1:8" ht="12.75">
      <c r="A38" s="54">
        <v>31</v>
      </c>
      <c r="B38" s="57" t="s">
        <v>219</v>
      </c>
      <c r="C38" s="57">
        <v>0</v>
      </c>
      <c r="D38" s="57">
        <v>0</v>
      </c>
      <c r="E38" s="57">
        <v>5</v>
      </c>
      <c r="F38" s="57">
        <f t="shared" si="0"/>
        <v>5</v>
      </c>
      <c r="G38" s="57">
        <v>0</v>
      </c>
      <c r="H38" s="19"/>
    </row>
    <row r="39" spans="1:9" ht="12.75">
      <c r="A39" s="54">
        <v>32</v>
      </c>
      <c r="B39" s="57" t="s">
        <v>254</v>
      </c>
      <c r="C39" s="57">
        <v>0</v>
      </c>
      <c r="D39" s="57">
        <v>0</v>
      </c>
      <c r="E39" s="57">
        <v>2</v>
      </c>
      <c r="F39" s="57">
        <f t="shared" si="0"/>
        <v>2</v>
      </c>
      <c r="G39" s="57">
        <v>0</v>
      </c>
      <c r="H39" s="19"/>
      <c r="I39" s="501"/>
    </row>
    <row r="40" spans="1:8" ht="12.75">
      <c r="A40" s="110">
        <v>33</v>
      </c>
      <c r="B40" s="111" t="s">
        <v>363</v>
      </c>
      <c r="C40" s="57">
        <v>0</v>
      </c>
      <c r="D40" s="57">
        <v>0</v>
      </c>
      <c r="E40" s="57">
        <v>3</v>
      </c>
      <c r="F40" s="57">
        <f>C40+D40+E40</f>
        <v>3</v>
      </c>
      <c r="G40" s="57">
        <v>0</v>
      </c>
      <c r="H40" s="19"/>
    </row>
    <row r="41" spans="1:8" ht="12.75">
      <c r="A41" s="54">
        <v>34</v>
      </c>
      <c r="B41" s="57" t="s">
        <v>242</v>
      </c>
      <c r="C41" s="57">
        <v>0</v>
      </c>
      <c r="D41" s="57">
        <v>0</v>
      </c>
      <c r="E41" s="57">
        <v>1</v>
      </c>
      <c r="F41" s="57">
        <f t="shared" si="0"/>
        <v>1</v>
      </c>
      <c r="G41" s="57">
        <v>0</v>
      </c>
      <c r="H41" s="19"/>
    </row>
    <row r="42" spans="1:8" ht="12.75">
      <c r="A42" s="54">
        <v>35</v>
      </c>
      <c r="B42" s="57" t="s">
        <v>256</v>
      </c>
      <c r="C42" s="57">
        <v>0</v>
      </c>
      <c r="D42" s="57">
        <v>0</v>
      </c>
      <c r="E42" s="57">
        <v>3</v>
      </c>
      <c r="F42" s="57">
        <f t="shared" si="0"/>
        <v>3</v>
      </c>
      <c r="G42" s="57">
        <v>0</v>
      </c>
      <c r="H42" s="19"/>
    </row>
    <row r="43" spans="1:8" ht="12.75">
      <c r="A43" s="54">
        <v>36</v>
      </c>
      <c r="B43" s="57" t="s">
        <v>24</v>
      </c>
      <c r="C43" s="57">
        <v>0</v>
      </c>
      <c r="D43" s="57">
        <v>0</v>
      </c>
      <c r="E43" s="57">
        <v>2</v>
      </c>
      <c r="F43" s="57">
        <f t="shared" si="0"/>
        <v>2</v>
      </c>
      <c r="G43" s="57">
        <v>0</v>
      </c>
      <c r="H43" s="19"/>
    </row>
    <row r="44" spans="1:8" ht="12" customHeight="1">
      <c r="A44" s="54">
        <v>37</v>
      </c>
      <c r="B44" s="57" t="s">
        <v>223</v>
      </c>
      <c r="C44" s="57">
        <v>0</v>
      </c>
      <c r="D44" s="57">
        <v>0</v>
      </c>
      <c r="E44" s="57">
        <v>1</v>
      </c>
      <c r="F44" s="57">
        <f t="shared" si="0"/>
        <v>1</v>
      </c>
      <c r="G44" s="57">
        <v>0</v>
      </c>
      <c r="H44" s="19"/>
    </row>
    <row r="45" spans="1:8" ht="12.75">
      <c r="A45" s="54">
        <v>38</v>
      </c>
      <c r="B45" s="57" t="s">
        <v>364</v>
      </c>
      <c r="C45" s="57">
        <v>0</v>
      </c>
      <c r="D45" s="57">
        <v>0</v>
      </c>
      <c r="E45" s="57">
        <v>2</v>
      </c>
      <c r="F45" s="57">
        <f t="shared" si="0"/>
        <v>2</v>
      </c>
      <c r="G45" s="57">
        <v>0</v>
      </c>
      <c r="H45" s="19"/>
    </row>
    <row r="46" spans="1:8" ht="12.75">
      <c r="A46" s="54">
        <v>39</v>
      </c>
      <c r="B46" s="57" t="s">
        <v>365</v>
      </c>
      <c r="C46" s="57">
        <v>1</v>
      </c>
      <c r="D46" s="57">
        <v>6</v>
      </c>
      <c r="E46" s="57">
        <v>29</v>
      </c>
      <c r="F46" s="57">
        <f t="shared" si="0"/>
        <v>36</v>
      </c>
      <c r="G46" s="57">
        <v>0</v>
      </c>
      <c r="H46" s="19"/>
    </row>
    <row r="47" spans="1:8" ht="12.75">
      <c r="A47" s="54"/>
      <c r="B47" s="58" t="s">
        <v>225</v>
      </c>
      <c r="C47" s="58">
        <f>SUM(C34:C46)</f>
        <v>3</v>
      </c>
      <c r="D47" s="58">
        <f>SUM(D34:D46)</f>
        <v>51</v>
      </c>
      <c r="E47" s="58">
        <f>SUM(E34:E46)</f>
        <v>160</v>
      </c>
      <c r="F47" s="58">
        <f>SUM(F34:F46)</f>
        <v>214</v>
      </c>
      <c r="G47" s="58">
        <f>SUM(G34:G46)</f>
        <v>0</v>
      </c>
      <c r="H47" s="19"/>
    </row>
    <row r="48" spans="1:10" ht="12.75">
      <c r="A48" s="54"/>
      <c r="B48" s="187" t="s">
        <v>123</v>
      </c>
      <c r="C48" s="58">
        <f>C25+C33+C47</f>
        <v>1025</v>
      </c>
      <c r="D48" s="58">
        <f>D25+D33+D47</f>
        <v>784</v>
      </c>
      <c r="E48" s="58">
        <f>E25+E33+E47</f>
        <v>1185</v>
      </c>
      <c r="F48" s="58">
        <f>F25+F33+F47</f>
        <v>2994</v>
      </c>
      <c r="G48" s="58">
        <f>G25+G33+G47</f>
        <v>33</v>
      </c>
      <c r="H48" s="20"/>
      <c r="I48" s="20"/>
      <c r="J48" s="20"/>
    </row>
    <row r="49" spans="1:7" ht="12.75">
      <c r="A49" s="101"/>
      <c r="B49" s="101"/>
      <c r="C49" s="62"/>
      <c r="D49" s="62"/>
      <c r="E49" s="62"/>
      <c r="F49" s="68"/>
      <c r="G49" s="68"/>
    </row>
    <row r="50" spans="1:10" ht="15">
      <c r="A50" s="39"/>
      <c r="B50" s="39"/>
      <c r="C50" s="39"/>
      <c r="D50" s="39"/>
      <c r="E50" s="39"/>
      <c r="F50" s="37"/>
      <c r="G50" s="37"/>
      <c r="I50" s="105"/>
      <c r="J50" s="105"/>
    </row>
    <row r="51" spans="1:10" ht="15">
      <c r="A51" s="39"/>
      <c r="B51" s="39"/>
      <c r="C51" s="39"/>
      <c r="D51" s="39"/>
      <c r="E51" s="39"/>
      <c r="F51" s="37"/>
      <c r="G51" s="37"/>
      <c r="I51" s="105"/>
      <c r="J51" s="105"/>
    </row>
    <row r="52" spans="1:10" ht="15">
      <c r="A52" s="495"/>
      <c r="B52" s="495"/>
      <c r="C52" s="41"/>
      <c r="D52" s="41"/>
      <c r="E52" s="41"/>
      <c r="F52" s="41"/>
      <c r="G52" s="195"/>
      <c r="H52" s="105"/>
      <c r="I52" s="105"/>
      <c r="J52" s="105"/>
    </row>
    <row r="53" spans="1:10" ht="14.25">
      <c r="A53" s="493" t="s">
        <v>4</v>
      </c>
      <c r="B53" s="493" t="s">
        <v>5</v>
      </c>
      <c r="C53" s="42" t="s">
        <v>0</v>
      </c>
      <c r="D53" s="42" t="s">
        <v>1</v>
      </c>
      <c r="E53" s="42" t="s">
        <v>2</v>
      </c>
      <c r="F53" s="42" t="s">
        <v>3</v>
      </c>
      <c r="G53" s="42" t="s">
        <v>397</v>
      </c>
      <c r="H53" s="108"/>
      <c r="I53" s="108"/>
      <c r="J53" s="108"/>
    </row>
    <row r="54" spans="1:10" ht="14.25">
      <c r="A54" s="494" t="s">
        <v>6</v>
      </c>
      <c r="B54" s="494"/>
      <c r="C54" s="60"/>
      <c r="D54" s="60"/>
      <c r="E54" s="60"/>
      <c r="F54" s="60"/>
      <c r="G54" s="60"/>
      <c r="H54" s="105"/>
      <c r="I54" s="105"/>
      <c r="J54" s="105"/>
    </row>
    <row r="55" spans="1:10" s="496" customFormat="1" ht="18" customHeight="1">
      <c r="A55" s="54">
        <v>40</v>
      </c>
      <c r="B55" s="57" t="s">
        <v>78</v>
      </c>
      <c r="C55" s="57">
        <v>62</v>
      </c>
      <c r="D55" s="57">
        <v>18</v>
      </c>
      <c r="E55" s="57">
        <v>0</v>
      </c>
      <c r="F55" s="57">
        <f aca="true" t="shared" si="1" ref="F55:F62">C55+D55+E55</f>
        <v>80</v>
      </c>
      <c r="G55" s="57">
        <v>0</v>
      </c>
      <c r="I55" s="497"/>
      <c r="J55" s="497"/>
    </row>
    <row r="56" spans="1:10" s="496" customFormat="1" ht="18" customHeight="1">
      <c r="A56" s="54">
        <v>41</v>
      </c>
      <c r="B56" s="57" t="s">
        <v>278</v>
      </c>
      <c r="C56" s="57">
        <v>147</v>
      </c>
      <c r="D56" s="57">
        <v>52</v>
      </c>
      <c r="E56" s="57">
        <v>14</v>
      </c>
      <c r="F56" s="57">
        <f t="shared" si="1"/>
        <v>213</v>
      </c>
      <c r="G56" s="57">
        <v>0</v>
      </c>
      <c r="I56" s="497"/>
      <c r="J56" s="497"/>
    </row>
    <row r="57" spans="1:10" s="496" customFormat="1" ht="18" customHeight="1">
      <c r="A57" s="54">
        <v>42</v>
      </c>
      <c r="B57" s="57" t="s">
        <v>30</v>
      </c>
      <c r="C57" s="57">
        <v>24</v>
      </c>
      <c r="D57" s="57">
        <v>14</v>
      </c>
      <c r="E57" s="57">
        <v>5</v>
      </c>
      <c r="F57" s="57">
        <f t="shared" si="1"/>
        <v>43</v>
      </c>
      <c r="G57" s="57">
        <v>0</v>
      </c>
      <c r="I57" s="497"/>
      <c r="J57" s="497"/>
    </row>
    <row r="58" spans="1:10" s="496" customFormat="1" ht="18" customHeight="1">
      <c r="A58" s="54">
        <v>43</v>
      </c>
      <c r="B58" s="57" t="s">
        <v>234</v>
      </c>
      <c r="C58" s="57">
        <v>138</v>
      </c>
      <c r="D58" s="57">
        <v>58</v>
      </c>
      <c r="E58" s="57">
        <v>15</v>
      </c>
      <c r="F58" s="57">
        <f>C58+D58+E58</f>
        <v>211</v>
      </c>
      <c r="G58" s="57">
        <v>0</v>
      </c>
      <c r="I58" s="497"/>
      <c r="J58" s="497"/>
    </row>
    <row r="59" spans="1:10" s="496" customFormat="1" ht="18" customHeight="1">
      <c r="A59" s="54">
        <v>44</v>
      </c>
      <c r="B59" s="57" t="s">
        <v>29</v>
      </c>
      <c r="C59" s="57">
        <v>79</v>
      </c>
      <c r="D59" s="57">
        <v>9</v>
      </c>
      <c r="E59" s="57">
        <v>12</v>
      </c>
      <c r="F59" s="57">
        <f t="shared" si="1"/>
        <v>100</v>
      </c>
      <c r="G59" s="57">
        <v>0</v>
      </c>
      <c r="I59" s="497"/>
      <c r="J59" s="497"/>
    </row>
    <row r="60" spans="1:10" s="496" customFormat="1" ht="18" customHeight="1">
      <c r="A60" s="54">
        <v>45</v>
      </c>
      <c r="B60" s="57" t="s">
        <v>391</v>
      </c>
      <c r="C60" s="57">
        <v>227</v>
      </c>
      <c r="D60" s="57">
        <v>98</v>
      </c>
      <c r="E60" s="57">
        <v>22</v>
      </c>
      <c r="F60" s="57">
        <f t="shared" si="1"/>
        <v>347</v>
      </c>
      <c r="G60" s="57">
        <v>0</v>
      </c>
      <c r="I60" s="497"/>
      <c r="J60" s="497"/>
    </row>
    <row r="61" spans="1:10" s="496" customFormat="1" ht="18" customHeight="1">
      <c r="A61" s="54">
        <v>46</v>
      </c>
      <c r="B61" s="57" t="s">
        <v>25</v>
      </c>
      <c r="C61" s="57">
        <v>54</v>
      </c>
      <c r="D61" s="57">
        <v>9</v>
      </c>
      <c r="E61" s="57">
        <v>0</v>
      </c>
      <c r="F61" s="57">
        <f>C61+D61+E61</f>
        <v>63</v>
      </c>
      <c r="G61" s="57">
        <v>0</v>
      </c>
      <c r="I61" s="497"/>
      <c r="J61" s="497"/>
    </row>
    <row r="62" spans="1:10" s="496" customFormat="1" ht="18" customHeight="1">
      <c r="A62" s="54">
        <v>47</v>
      </c>
      <c r="B62" s="57" t="s">
        <v>28</v>
      </c>
      <c r="C62" s="57">
        <v>13</v>
      </c>
      <c r="D62" s="57">
        <v>9</v>
      </c>
      <c r="E62" s="57">
        <v>3</v>
      </c>
      <c r="F62" s="57">
        <f t="shared" si="1"/>
        <v>25</v>
      </c>
      <c r="G62" s="57">
        <v>0</v>
      </c>
      <c r="I62" s="497"/>
      <c r="J62" s="497"/>
    </row>
    <row r="63" spans="1:10" ht="12.75">
      <c r="A63" s="54"/>
      <c r="B63" s="187" t="s">
        <v>123</v>
      </c>
      <c r="C63" s="58">
        <f>SUM(C55:C62)</f>
        <v>744</v>
      </c>
      <c r="D63" s="58">
        <f>SUM(D55:D62)</f>
        <v>267</v>
      </c>
      <c r="E63" s="58">
        <f>SUM(E55:E62)</f>
        <v>71</v>
      </c>
      <c r="F63" s="58">
        <f>SUM(F55:F62)</f>
        <v>1082</v>
      </c>
      <c r="G63" s="58">
        <f>SUM(G55:G62)</f>
        <v>0</v>
      </c>
      <c r="I63" s="19"/>
      <c r="J63" s="19"/>
    </row>
    <row r="64" spans="1:10" ht="12.75">
      <c r="A64" s="54"/>
      <c r="B64" s="57"/>
      <c r="C64" s="57"/>
      <c r="D64" s="57"/>
      <c r="E64" s="57"/>
      <c r="F64" s="57"/>
      <c r="G64" s="57"/>
      <c r="I64" s="19"/>
      <c r="J64" s="19"/>
    </row>
    <row r="65" spans="1:10" ht="12.75">
      <c r="A65" s="54">
        <v>48</v>
      </c>
      <c r="B65" s="57" t="s">
        <v>34</v>
      </c>
      <c r="C65" s="57">
        <v>320</v>
      </c>
      <c r="D65" s="57">
        <v>470</v>
      </c>
      <c r="E65" s="57">
        <v>65</v>
      </c>
      <c r="F65" s="57">
        <f>C65+D65+E65</f>
        <v>855</v>
      </c>
      <c r="G65" s="57">
        <v>0</v>
      </c>
      <c r="I65" s="19"/>
      <c r="J65" s="19"/>
    </row>
    <row r="66" spans="1:10" ht="12.75">
      <c r="A66" s="54" t="s">
        <v>430</v>
      </c>
      <c r="B66" s="57" t="s">
        <v>130</v>
      </c>
      <c r="C66" s="57">
        <v>352</v>
      </c>
      <c r="D66" s="57">
        <v>0</v>
      </c>
      <c r="E66" s="57">
        <v>7</v>
      </c>
      <c r="F66" s="57">
        <f>C66+D66+E66</f>
        <v>359</v>
      </c>
      <c r="G66" s="57">
        <v>0</v>
      </c>
      <c r="I66" s="19"/>
      <c r="J66" s="19"/>
    </row>
    <row r="67" spans="1:10" ht="12.75">
      <c r="A67" s="54"/>
      <c r="B67" s="187" t="s">
        <v>123</v>
      </c>
      <c r="C67" s="58">
        <f>SUM(C65:C66)</f>
        <v>672</v>
      </c>
      <c r="D67" s="58">
        <f>SUM(D65:D66)</f>
        <v>470</v>
      </c>
      <c r="E67" s="58">
        <f>SUM(E65:E66)</f>
        <v>72</v>
      </c>
      <c r="F67" s="58">
        <f>SUM(F65:F66)</f>
        <v>1214</v>
      </c>
      <c r="G67" s="58">
        <f>SUM(G65:G66)</f>
        <v>0</v>
      </c>
      <c r="H67" s="20"/>
      <c r="I67" s="20"/>
      <c r="J67" s="20"/>
    </row>
    <row r="68" spans="1:10" ht="18" customHeight="1">
      <c r="A68" s="54"/>
      <c r="B68" s="187" t="s">
        <v>35</v>
      </c>
      <c r="C68" s="58">
        <f>C48+C63+C67</f>
        <v>2441</v>
      </c>
      <c r="D68" s="58">
        <f>D48+D63+D67</f>
        <v>1521</v>
      </c>
      <c r="E68" s="58">
        <f>E48+E63+E67</f>
        <v>1328</v>
      </c>
      <c r="F68" s="58">
        <f>F48+F63+F67</f>
        <v>5290</v>
      </c>
      <c r="G68" s="58">
        <f>G48+G63+G67</f>
        <v>33</v>
      </c>
      <c r="H68" s="20"/>
      <c r="I68" s="20"/>
      <c r="J68" s="20"/>
    </row>
    <row r="69" spans="1:10" ht="15">
      <c r="A69" s="196"/>
      <c r="B69" s="196"/>
      <c r="C69" s="64"/>
      <c r="D69" s="64"/>
      <c r="E69" s="64"/>
      <c r="F69" s="64"/>
      <c r="G69" s="196"/>
      <c r="J69" s="103" t="s">
        <v>36</v>
      </c>
    </row>
    <row r="70" spans="3:10" ht="15">
      <c r="C70" s="40">
        <v>1</v>
      </c>
      <c r="J70" s="103" t="s">
        <v>431</v>
      </c>
    </row>
  </sheetData>
  <sheetProtection/>
  <printOptions gridLines="1" horizontalCentered="1"/>
  <pageMargins left="0.748031496062992" right="0.748031496062992" top="0.52" bottom="0.64" header="0.25" footer="0.36"/>
  <pageSetup blackAndWhite="1" horizontalDpi="600" verticalDpi="600" orientation="landscape" paperSize="9" scale="80" r:id="rId2"/>
  <rowBreaks count="1" manualBreakCount="1">
    <brk id="4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64">
      <selection activeCell="F61" sqref="F61"/>
    </sheetView>
  </sheetViews>
  <sheetFormatPr defaultColWidth="9.140625" defaultRowHeight="12.75"/>
  <cols>
    <col min="1" max="1" width="3.7109375" style="117" customWidth="1"/>
    <col min="2" max="2" width="22.00390625" style="117" customWidth="1"/>
    <col min="3" max="3" width="11.00390625" style="127" customWidth="1"/>
    <col min="4" max="4" width="10.28125" style="127" customWidth="1"/>
    <col min="5" max="5" width="13.8515625" style="127" customWidth="1"/>
    <col min="6" max="6" width="10.28125" style="127" customWidth="1"/>
    <col min="7" max="7" width="9.57421875" style="127" customWidth="1"/>
    <col min="8" max="8" width="9.421875" style="127" bestFit="1" customWidth="1"/>
    <col min="9" max="9" width="9.421875" style="99" bestFit="1" customWidth="1"/>
    <col min="10" max="10" width="9.8515625" style="127" customWidth="1"/>
    <col min="11" max="11" width="11.28125" style="127" bestFit="1" customWidth="1"/>
    <col min="12" max="12" width="9.421875" style="127" bestFit="1" customWidth="1"/>
    <col min="13" max="13" width="11.28125" style="127" bestFit="1" customWidth="1"/>
    <col min="14" max="14" width="9.140625" style="127" customWidth="1"/>
    <col min="15" max="15" width="9.00390625" style="127" customWidth="1"/>
    <col min="16" max="16384" width="9.140625" style="117" customWidth="1"/>
  </cols>
  <sheetData>
    <row r="1" spans="1:6" ht="15">
      <c r="A1" s="292"/>
      <c r="B1" s="292"/>
      <c r="C1" s="293"/>
      <c r="D1" s="294"/>
      <c r="E1" s="294"/>
      <c r="F1" s="294"/>
    </row>
    <row r="2" spans="4:11" ht="15">
      <c r="D2" s="294"/>
      <c r="E2" s="294"/>
      <c r="I2" s="192"/>
      <c r="J2" s="293"/>
      <c r="K2" s="293"/>
    </row>
    <row r="3" spans="4:11" ht="15">
      <c r="D3" s="294"/>
      <c r="E3" s="294"/>
      <c r="I3" s="192"/>
      <c r="J3" s="293"/>
      <c r="K3" s="293"/>
    </row>
    <row r="4" spans="1:15" ht="12.75">
      <c r="A4" s="299" t="s">
        <v>122</v>
      </c>
      <c r="B4" s="299" t="s">
        <v>5</v>
      </c>
      <c r="C4" s="300" t="s">
        <v>75</v>
      </c>
      <c r="D4" s="340" t="s">
        <v>436</v>
      </c>
      <c r="E4" s="341"/>
      <c r="F4" s="341"/>
      <c r="G4" s="341"/>
      <c r="H4" s="341"/>
      <c r="I4" s="598"/>
      <c r="J4" s="340" t="s">
        <v>108</v>
      </c>
      <c r="K4" s="341"/>
      <c r="L4" s="342"/>
      <c r="M4" s="342"/>
      <c r="N4" s="342"/>
      <c r="O4" s="343"/>
    </row>
    <row r="5" spans="1:15" ht="12.75">
      <c r="A5" s="301" t="s">
        <v>6</v>
      </c>
      <c r="B5" s="344"/>
      <c r="C5" s="583"/>
      <c r="D5" s="345" t="s">
        <v>79</v>
      </c>
      <c r="E5" s="300" t="s">
        <v>197</v>
      </c>
      <c r="F5" s="582" t="s">
        <v>109</v>
      </c>
      <c r="G5" s="584"/>
      <c r="H5" s="300" t="s">
        <v>79</v>
      </c>
      <c r="I5" s="261" t="s">
        <v>79</v>
      </c>
      <c r="J5" s="346" t="s">
        <v>85</v>
      </c>
      <c r="K5" s="347"/>
      <c r="L5" s="614" t="s">
        <v>246</v>
      </c>
      <c r="M5" s="615"/>
      <c r="N5" s="614" t="s">
        <v>193</v>
      </c>
      <c r="O5" s="615"/>
    </row>
    <row r="6" spans="1:15" ht="12.75">
      <c r="A6" s="344"/>
      <c r="B6" s="301"/>
      <c r="C6" s="302"/>
      <c r="D6" s="302" t="s">
        <v>80</v>
      </c>
      <c r="E6" s="585" t="s">
        <v>76</v>
      </c>
      <c r="F6" s="300" t="s">
        <v>76</v>
      </c>
      <c r="G6" s="300" t="s">
        <v>63</v>
      </c>
      <c r="H6" s="586" t="s">
        <v>81</v>
      </c>
      <c r="I6" s="262" t="s">
        <v>90</v>
      </c>
      <c r="J6" s="348" t="s">
        <v>110</v>
      </c>
      <c r="K6" s="349"/>
      <c r="L6" s="616"/>
      <c r="M6" s="617"/>
      <c r="N6" s="616" t="s">
        <v>144</v>
      </c>
      <c r="O6" s="617"/>
    </row>
    <row r="7" spans="1:15" ht="12.75">
      <c r="A7" s="350"/>
      <c r="B7" s="350"/>
      <c r="C7" s="303"/>
      <c r="D7" s="303"/>
      <c r="E7" s="348"/>
      <c r="F7" s="303"/>
      <c r="G7" s="303" t="s">
        <v>36</v>
      </c>
      <c r="H7" s="349" t="s">
        <v>82</v>
      </c>
      <c r="I7" s="263" t="s">
        <v>92</v>
      </c>
      <c r="J7" s="351" t="s">
        <v>76</v>
      </c>
      <c r="K7" s="351" t="s">
        <v>63</v>
      </c>
      <c r="L7" s="587" t="s">
        <v>76</v>
      </c>
      <c r="M7" s="351" t="s">
        <v>63</v>
      </c>
      <c r="N7" s="351" t="s">
        <v>76</v>
      </c>
      <c r="O7" s="351" t="s">
        <v>63</v>
      </c>
    </row>
    <row r="8" spans="1:15" ht="12.75">
      <c r="A8" s="115">
        <v>1</v>
      </c>
      <c r="B8" s="116" t="s">
        <v>7</v>
      </c>
      <c r="C8" s="116">
        <v>0</v>
      </c>
      <c r="D8" s="116">
        <v>38</v>
      </c>
      <c r="E8" s="116">
        <v>32</v>
      </c>
      <c r="F8" s="116">
        <v>24</v>
      </c>
      <c r="G8" s="116">
        <v>12</v>
      </c>
      <c r="H8" s="116">
        <v>6</v>
      </c>
      <c r="I8" s="190">
        <f aca="true" t="shared" si="0" ref="I8:I48">D8-E8-H8</f>
        <v>0</v>
      </c>
      <c r="J8" s="116">
        <v>840</v>
      </c>
      <c r="K8" s="116">
        <v>416</v>
      </c>
      <c r="L8" s="116">
        <v>742</v>
      </c>
      <c r="M8" s="116">
        <v>163</v>
      </c>
      <c r="N8" s="116">
        <v>149</v>
      </c>
      <c r="O8" s="116">
        <v>35</v>
      </c>
    </row>
    <row r="9" spans="1:15" ht="12.75">
      <c r="A9" s="115">
        <v>2</v>
      </c>
      <c r="B9" s="116" t="s">
        <v>8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90">
        <f t="shared" si="0"/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</row>
    <row r="10" spans="1:15" ht="12.75">
      <c r="A10" s="115">
        <v>3</v>
      </c>
      <c r="B10" s="116" t="s">
        <v>9</v>
      </c>
      <c r="C10" s="116">
        <v>0</v>
      </c>
      <c r="D10" s="116">
        <v>112</v>
      </c>
      <c r="E10" s="116">
        <v>112</v>
      </c>
      <c r="F10" s="116">
        <v>112</v>
      </c>
      <c r="G10" s="116">
        <v>10</v>
      </c>
      <c r="H10" s="116">
        <v>0</v>
      </c>
      <c r="I10" s="190">
        <f t="shared" si="0"/>
        <v>0</v>
      </c>
      <c r="J10" s="116">
        <v>463</v>
      </c>
      <c r="K10" s="116">
        <v>43</v>
      </c>
      <c r="L10" s="116">
        <v>471</v>
      </c>
      <c r="M10" s="116">
        <v>42</v>
      </c>
      <c r="N10" s="116">
        <v>281</v>
      </c>
      <c r="O10" s="116">
        <v>25</v>
      </c>
    </row>
    <row r="11" spans="1:15" ht="12.75">
      <c r="A11" s="115">
        <v>4</v>
      </c>
      <c r="B11" s="116" t="s">
        <v>10</v>
      </c>
      <c r="C11" s="116">
        <v>0</v>
      </c>
      <c r="D11" s="116">
        <v>22</v>
      </c>
      <c r="E11" s="116">
        <v>18</v>
      </c>
      <c r="F11" s="116">
        <v>16</v>
      </c>
      <c r="G11" s="116">
        <v>7</v>
      </c>
      <c r="H11" s="116">
        <v>0</v>
      </c>
      <c r="I11" s="190">
        <f t="shared" si="0"/>
        <v>4</v>
      </c>
      <c r="J11" s="116">
        <v>1535</v>
      </c>
      <c r="K11" s="116">
        <v>792</v>
      </c>
      <c r="L11" s="116">
        <v>1535</v>
      </c>
      <c r="M11" s="116">
        <v>792</v>
      </c>
      <c r="N11" s="116">
        <v>377</v>
      </c>
      <c r="O11" s="116">
        <v>120</v>
      </c>
    </row>
    <row r="12" spans="1:15" ht="12.75">
      <c r="A12" s="115">
        <v>5</v>
      </c>
      <c r="B12" s="116" t="s">
        <v>11</v>
      </c>
      <c r="C12" s="116">
        <v>0</v>
      </c>
      <c r="D12" s="116">
        <v>11</v>
      </c>
      <c r="E12" s="116">
        <v>7</v>
      </c>
      <c r="F12" s="116">
        <v>2</v>
      </c>
      <c r="G12" s="116">
        <v>1</v>
      </c>
      <c r="H12" s="116">
        <v>0</v>
      </c>
      <c r="I12" s="190">
        <f t="shared" si="0"/>
        <v>4</v>
      </c>
      <c r="J12" s="116">
        <v>484</v>
      </c>
      <c r="K12" s="116">
        <v>28</v>
      </c>
      <c r="L12" s="116">
        <v>108</v>
      </c>
      <c r="M12" s="116">
        <v>26</v>
      </c>
      <c r="N12" s="116">
        <v>39</v>
      </c>
      <c r="O12" s="116">
        <v>9</v>
      </c>
    </row>
    <row r="13" spans="1:15" ht="12.75">
      <c r="A13" s="115">
        <v>6</v>
      </c>
      <c r="B13" s="116" t="s">
        <v>12</v>
      </c>
      <c r="C13" s="116">
        <v>100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90">
        <f t="shared" si="0"/>
        <v>0</v>
      </c>
      <c r="J13" s="116">
        <v>34</v>
      </c>
      <c r="K13" s="116">
        <v>9</v>
      </c>
      <c r="L13" s="116">
        <v>0</v>
      </c>
      <c r="M13" s="116">
        <v>0</v>
      </c>
      <c r="N13" s="116">
        <v>0</v>
      </c>
      <c r="O13" s="116">
        <v>0</v>
      </c>
    </row>
    <row r="14" spans="1:15" ht="12.75">
      <c r="A14" s="115">
        <v>7</v>
      </c>
      <c r="B14" s="116" t="s">
        <v>13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90">
        <f t="shared" si="0"/>
        <v>0</v>
      </c>
      <c r="J14" s="116">
        <v>1626</v>
      </c>
      <c r="K14" s="116">
        <v>616</v>
      </c>
      <c r="L14" s="116">
        <v>0</v>
      </c>
      <c r="M14" s="116">
        <v>0</v>
      </c>
      <c r="N14" s="116">
        <v>0</v>
      </c>
      <c r="O14" s="116">
        <v>0</v>
      </c>
    </row>
    <row r="15" spans="1:15" ht="12.75">
      <c r="A15" s="115">
        <v>8</v>
      </c>
      <c r="B15" s="116" t="s">
        <v>162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90">
        <f t="shared" si="0"/>
        <v>0</v>
      </c>
      <c r="J15" s="116">
        <v>6</v>
      </c>
      <c r="K15" s="116">
        <v>1</v>
      </c>
      <c r="L15" s="116">
        <v>6</v>
      </c>
      <c r="M15" s="116">
        <v>1</v>
      </c>
      <c r="N15" s="116">
        <v>0</v>
      </c>
      <c r="O15" s="116">
        <v>0</v>
      </c>
    </row>
    <row r="16" spans="1:15" ht="12.75">
      <c r="A16" s="115">
        <v>9</v>
      </c>
      <c r="B16" s="116" t="s">
        <v>14</v>
      </c>
      <c r="C16" s="116">
        <v>108</v>
      </c>
      <c r="D16" s="116">
        <v>36</v>
      </c>
      <c r="E16" s="116">
        <v>19</v>
      </c>
      <c r="F16" s="116">
        <v>15</v>
      </c>
      <c r="G16" s="116">
        <v>4</v>
      </c>
      <c r="H16" s="116">
        <v>0</v>
      </c>
      <c r="I16" s="190">
        <f t="shared" si="0"/>
        <v>17</v>
      </c>
      <c r="J16" s="116">
        <v>178</v>
      </c>
      <c r="K16" s="116">
        <v>21</v>
      </c>
      <c r="L16" s="116">
        <v>178</v>
      </c>
      <c r="M16" s="116">
        <v>21</v>
      </c>
      <c r="N16" s="116">
        <v>72</v>
      </c>
      <c r="O16" s="116">
        <v>8</v>
      </c>
    </row>
    <row r="17" spans="1:15" ht="12.75">
      <c r="A17" s="115">
        <v>10</v>
      </c>
      <c r="B17" s="116" t="s">
        <v>15</v>
      </c>
      <c r="C17" s="116">
        <v>0</v>
      </c>
      <c r="D17" s="116">
        <v>8</v>
      </c>
      <c r="E17" s="116">
        <v>0</v>
      </c>
      <c r="F17" s="116">
        <v>0</v>
      </c>
      <c r="G17" s="116">
        <v>0</v>
      </c>
      <c r="H17" s="116">
        <v>0</v>
      </c>
      <c r="I17" s="190">
        <f t="shared" si="0"/>
        <v>8</v>
      </c>
      <c r="J17" s="116">
        <v>11</v>
      </c>
      <c r="K17" s="116">
        <v>3</v>
      </c>
      <c r="L17" s="116">
        <v>11</v>
      </c>
      <c r="M17" s="116">
        <v>3</v>
      </c>
      <c r="N17" s="116">
        <v>8</v>
      </c>
      <c r="O17" s="116">
        <v>2</v>
      </c>
    </row>
    <row r="18" spans="1:15" ht="12.75">
      <c r="A18" s="115">
        <v>11</v>
      </c>
      <c r="B18" s="116" t="s">
        <v>16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90">
        <f t="shared" si="0"/>
        <v>0</v>
      </c>
      <c r="J18" s="116">
        <v>55</v>
      </c>
      <c r="K18" s="116">
        <v>9</v>
      </c>
      <c r="L18" s="116">
        <v>55</v>
      </c>
      <c r="M18" s="116">
        <v>9</v>
      </c>
      <c r="N18" s="116">
        <v>36</v>
      </c>
      <c r="O18" s="116">
        <v>6</v>
      </c>
    </row>
    <row r="19" spans="1:15" ht="12.75">
      <c r="A19" s="115">
        <v>12</v>
      </c>
      <c r="B19" s="116" t="s">
        <v>17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90">
        <f t="shared" si="0"/>
        <v>0</v>
      </c>
      <c r="J19" s="116">
        <v>205</v>
      </c>
      <c r="K19" s="116">
        <v>19</v>
      </c>
      <c r="L19" s="116">
        <v>184</v>
      </c>
      <c r="M19" s="116">
        <v>16</v>
      </c>
      <c r="N19" s="116">
        <v>107</v>
      </c>
      <c r="O19" s="116">
        <v>9</v>
      </c>
    </row>
    <row r="20" spans="1:15" ht="12.75">
      <c r="A20" s="115">
        <v>13</v>
      </c>
      <c r="B20" s="116" t="s">
        <v>164</v>
      </c>
      <c r="C20" s="116">
        <v>48</v>
      </c>
      <c r="D20" s="116">
        <v>9</v>
      </c>
      <c r="E20" s="116">
        <v>0</v>
      </c>
      <c r="F20" s="116">
        <v>0</v>
      </c>
      <c r="G20" s="116">
        <v>0</v>
      </c>
      <c r="H20" s="116">
        <v>0</v>
      </c>
      <c r="I20" s="190">
        <f t="shared" si="0"/>
        <v>9</v>
      </c>
      <c r="J20" s="116">
        <v>46</v>
      </c>
      <c r="K20" s="116">
        <v>4</v>
      </c>
      <c r="L20" s="116">
        <v>44</v>
      </c>
      <c r="M20" s="116">
        <v>4</v>
      </c>
      <c r="N20" s="116">
        <v>14</v>
      </c>
      <c r="O20" s="116">
        <v>1</v>
      </c>
    </row>
    <row r="21" spans="1:15" ht="12.75">
      <c r="A21" s="115">
        <v>14</v>
      </c>
      <c r="B21" s="116" t="s">
        <v>77</v>
      </c>
      <c r="C21" s="116">
        <v>0</v>
      </c>
      <c r="D21" s="116">
        <v>15</v>
      </c>
      <c r="E21" s="116">
        <v>15</v>
      </c>
      <c r="F21" s="116">
        <v>5</v>
      </c>
      <c r="G21" s="116">
        <v>1</v>
      </c>
      <c r="H21" s="116">
        <v>0</v>
      </c>
      <c r="I21" s="190">
        <f t="shared" si="0"/>
        <v>0</v>
      </c>
      <c r="J21" s="116">
        <v>397</v>
      </c>
      <c r="K21" s="116">
        <v>31</v>
      </c>
      <c r="L21" s="116">
        <v>397</v>
      </c>
      <c r="M21" s="116">
        <v>31</v>
      </c>
      <c r="N21" s="116">
        <v>163</v>
      </c>
      <c r="O21" s="116">
        <v>15</v>
      </c>
    </row>
    <row r="22" spans="1:15" ht="12.75">
      <c r="A22" s="115">
        <v>15</v>
      </c>
      <c r="B22" s="116" t="s">
        <v>105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90">
        <f t="shared" si="0"/>
        <v>0</v>
      </c>
      <c r="J22" s="116">
        <v>31</v>
      </c>
      <c r="K22" s="116">
        <v>3</v>
      </c>
      <c r="L22" s="116">
        <v>26</v>
      </c>
      <c r="M22" s="116">
        <v>2</v>
      </c>
      <c r="N22" s="116">
        <v>0</v>
      </c>
      <c r="O22" s="116">
        <v>0</v>
      </c>
    </row>
    <row r="23" spans="1:15" ht="12.75">
      <c r="A23" s="115">
        <v>16</v>
      </c>
      <c r="B23" s="116" t="s">
        <v>20</v>
      </c>
      <c r="C23" s="116">
        <v>0</v>
      </c>
      <c r="D23" s="116">
        <v>135</v>
      </c>
      <c r="E23" s="116">
        <v>135</v>
      </c>
      <c r="F23" s="116">
        <v>135</v>
      </c>
      <c r="G23" s="116">
        <v>27</v>
      </c>
      <c r="H23" s="116">
        <v>0</v>
      </c>
      <c r="I23" s="190">
        <f t="shared" si="0"/>
        <v>0</v>
      </c>
      <c r="J23" s="116">
        <v>823</v>
      </c>
      <c r="K23" s="116">
        <v>409</v>
      </c>
      <c r="L23" s="116">
        <v>740</v>
      </c>
      <c r="M23" s="116">
        <v>222</v>
      </c>
      <c r="N23" s="116">
        <v>156</v>
      </c>
      <c r="O23" s="116">
        <v>55</v>
      </c>
    </row>
    <row r="24" spans="1:15" ht="12.75">
      <c r="A24" s="115">
        <v>17</v>
      </c>
      <c r="B24" s="116" t="s">
        <v>21</v>
      </c>
      <c r="C24" s="116">
        <v>0</v>
      </c>
      <c r="D24" s="116">
        <v>49</v>
      </c>
      <c r="E24" s="116">
        <v>13</v>
      </c>
      <c r="F24" s="116">
        <v>6</v>
      </c>
      <c r="G24" s="116">
        <v>5</v>
      </c>
      <c r="H24" s="116">
        <v>7</v>
      </c>
      <c r="I24" s="190">
        <f t="shared" si="0"/>
        <v>29</v>
      </c>
      <c r="J24" s="116">
        <v>1387</v>
      </c>
      <c r="K24" s="116">
        <v>312</v>
      </c>
      <c r="L24" s="116">
        <v>613</v>
      </c>
      <c r="M24" s="116">
        <v>7368</v>
      </c>
      <c r="N24" s="116">
        <v>414</v>
      </c>
      <c r="O24" s="116">
        <v>84</v>
      </c>
    </row>
    <row r="25" spans="1:15" ht="12.75">
      <c r="A25" s="115">
        <v>18</v>
      </c>
      <c r="B25" s="116" t="s">
        <v>19</v>
      </c>
      <c r="C25" s="116">
        <v>33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90">
        <f t="shared" si="0"/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</row>
    <row r="26" spans="1:15" ht="12.75">
      <c r="A26" s="115">
        <v>19</v>
      </c>
      <c r="B26" s="116" t="s">
        <v>124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90">
        <f t="shared" si="0"/>
        <v>0</v>
      </c>
      <c r="J26" s="116">
        <v>22</v>
      </c>
      <c r="K26" s="116">
        <v>4</v>
      </c>
      <c r="L26" s="116">
        <v>2</v>
      </c>
      <c r="M26" s="116">
        <v>1</v>
      </c>
      <c r="N26" s="116">
        <v>0</v>
      </c>
      <c r="O26" s="116">
        <v>0</v>
      </c>
    </row>
    <row r="27" spans="1:15" s="334" customFormat="1" ht="14.25">
      <c r="A27" s="325"/>
      <c r="B27" s="326" t="s">
        <v>224</v>
      </c>
      <c r="C27" s="326">
        <f aca="true" t="shared" si="1" ref="C27:M27">SUM(C8:C26)</f>
        <v>289</v>
      </c>
      <c r="D27" s="326">
        <f t="shared" si="1"/>
        <v>435</v>
      </c>
      <c r="E27" s="326">
        <f t="shared" si="1"/>
        <v>351</v>
      </c>
      <c r="F27" s="326">
        <f t="shared" si="1"/>
        <v>315</v>
      </c>
      <c r="G27" s="326">
        <f t="shared" si="1"/>
        <v>67</v>
      </c>
      <c r="H27" s="326">
        <f t="shared" si="1"/>
        <v>13</v>
      </c>
      <c r="I27" s="197">
        <f>D27-E27-H27</f>
        <v>71</v>
      </c>
      <c r="J27" s="326">
        <f t="shared" si="1"/>
        <v>8143</v>
      </c>
      <c r="K27" s="326">
        <f t="shared" si="1"/>
        <v>2720</v>
      </c>
      <c r="L27" s="326">
        <f t="shared" si="1"/>
        <v>5112</v>
      </c>
      <c r="M27" s="326">
        <f t="shared" si="1"/>
        <v>8701</v>
      </c>
      <c r="N27" s="326">
        <f>SUM(N8:N26)</f>
        <v>1816</v>
      </c>
      <c r="O27" s="326">
        <f>SUM(O8:O26)</f>
        <v>369</v>
      </c>
    </row>
    <row r="28" spans="1:15" ht="12.75">
      <c r="A28" s="115">
        <v>20</v>
      </c>
      <c r="B28" s="116" t="s">
        <v>23</v>
      </c>
      <c r="C28" s="116">
        <v>2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90">
        <f t="shared" si="0"/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</row>
    <row r="29" spans="1:15" ht="12.75">
      <c r="A29" s="115">
        <v>21</v>
      </c>
      <c r="B29" s="116" t="s">
        <v>269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90">
        <f t="shared" si="0"/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</row>
    <row r="30" spans="1:15" ht="12.75">
      <c r="A30" s="115">
        <v>22</v>
      </c>
      <c r="B30" s="116" t="s">
        <v>169</v>
      </c>
      <c r="C30" s="116">
        <v>10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90">
        <f t="shared" si="0"/>
        <v>0</v>
      </c>
      <c r="J30" s="116">
        <v>44</v>
      </c>
      <c r="K30" s="116">
        <v>8</v>
      </c>
      <c r="L30" s="116">
        <v>0</v>
      </c>
      <c r="M30" s="116">
        <v>0</v>
      </c>
      <c r="N30" s="116">
        <v>4</v>
      </c>
      <c r="O30" s="116">
        <v>2</v>
      </c>
    </row>
    <row r="31" spans="1:15" ht="12.75">
      <c r="A31" s="115">
        <v>23</v>
      </c>
      <c r="B31" s="116" t="s">
        <v>22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90">
        <f t="shared" si="0"/>
        <v>0</v>
      </c>
      <c r="J31" s="116">
        <v>12</v>
      </c>
      <c r="K31" s="116">
        <v>4</v>
      </c>
      <c r="L31" s="116">
        <v>12</v>
      </c>
      <c r="M31" s="116">
        <v>4</v>
      </c>
      <c r="N31" s="116">
        <v>5</v>
      </c>
      <c r="O31" s="116">
        <v>2</v>
      </c>
    </row>
    <row r="32" spans="1:15" ht="12.75">
      <c r="A32" s="115">
        <v>24</v>
      </c>
      <c r="B32" s="116" t="s">
        <v>141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90">
        <f t="shared" si="0"/>
        <v>0</v>
      </c>
      <c r="J32" s="116">
        <v>19</v>
      </c>
      <c r="K32" s="116">
        <v>2</v>
      </c>
      <c r="L32" s="116">
        <v>17</v>
      </c>
      <c r="M32" s="116">
        <v>1</v>
      </c>
      <c r="N32" s="116">
        <v>2</v>
      </c>
      <c r="O32" s="116">
        <v>1</v>
      </c>
    </row>
    <row r="33" spans="1:15" ht="12.75">
      <c r="A33" s="115">
        <v>25</v>
      </c>
      <c r="B33" s="116" t="s">
        <v>18</v>
      </c>
      <c r="C33" s="116">
        <v>80</v>
      </c>
      <c r="D33" s="116">
        <v>80</v>
      </c>
      <c r="E33" s="116">
        <v>71</v>
      </c>
      <c r="F33" s="116">
        <v>71</v>
      </c>
      <c r="G33" s="116">
        <v>12</v>
      </c>
      <c r="H33" s="116">
        <v>1</v>
      </c>
      <c r="I33" s="190">
        <f t="shared" si="0"/>
        <v>8</v>
      </c>
      <c r="J33" s="116">
        <v>2613</v>
      </c>
      <c r="K33" s="116">
        <v>128</v>
      </c>
      <c r="L33" s="116">
        <v>2613</v>
      </c>
      <c r="M33" s="116">
        <v>568</v>
      </c>
      <c r="N33" s="116">
        <v>298</v>
      </c>
      <c r="O33" s="116">
        <v>40</v>
      </c>
    </row>
    <row r="34" spans="1:15" ht="12.75">
      <c r="A34" s="115">
        <v>26</v>
      </c>
      <c r="B34" s="116" t="s">
        <v>104</v>
      </c>
      <c r="C34" s="116">
        <v>745</v>
      </c>
      <c r="D34" s="116">
        <v>540</v>
      </c>
      <c r="E34" s="116">
        <v>354</v>
      </c>
      <c r="F34" s="116">
        <v>290</v>
      </c>
      <c r="G34" s="116">
        <v>12</v>
      </c>
      <c r="H34" s="116">
        <v>80</v>
      </c>
      <c r="I34" s="190">
        <f t="shared" si="0"/>
        <v>106</v>
      </c>
      <c r="J34" s="116">
        <v>1197</v>
      </c>
      <c r="K34" s="116">
        <v>661</v>
      </c>
      <c r="L34" s="116">
        <v>1197</v>
      </c>
      <c r="M34" s="116">
        <v>661</v>
      </c>
      <c r="N34" s="116">
        <v>621</v>
      </c>
      <c r="O34" s="116">
        <v>188</v>
      </c>
    </row>
    <row r="35" spans="1:15" s="334" customFormat="1" ht="14.25">
      <c r="A35" s="325"/>
      <c r="B35" s="326" t="s">
        <v>226</v>
      </c>
      <c r="C35" s="326">
        <f aca="true" t="shared" si="2" ref="C35:M35">SUM(C28:C34)</f>
        <v>837</v>
      </c>
      <c r="D35" s="326">
        <f t="shared" si="2"/>
        <v>620</v>
      </c>
      <c r="E35" s="326">
        <f t="shared" si="2"/>
        <v>425</v>
      </c>
      <c r="F35" s="326">
        <f t="shared" si="2"/>
        <v>361</v>
      </c>
      <c r="G35" s="326">
        <f t="shared" si="2"/>
        <v>24</v>
      </c>
      <c r="H35" s="326">
        <f t="shared" si="2"/>
        <v>81</v>
      </c>
      <c r="I35" s="197">
        <f>D35-E35-H35</f>
        <v>114</v>
      </c>
      <c r="J35" s="326">
        <f t="shared" si="2"/>
        <v>3885</v>
      </c>
      <c r="K35" s="326">
        <f t="shared" si="2"/>
        <v>803</v>
      </c>
      <c r="L35" s="326">
        <f t="shared" si="2"/>
        <v>3839</v>
      </c>
      <c r="M35" s="326">
        <f t="shared" si="2"/>
        <v>1234</v>
      </c>
      <c r="N35" s="326">
        <f>SUM(N28:N34)</f>
        <v>930</v>
      </c>
      <c r="O35" s="326">
        <f>SUM(O28:O34)</f>
        <v>233</v>
      </c>
    </row>
    <row r="36" spans="1:15" ht="12.75">
      <c r="A36" s="115">
        <v>27</v>
      </c>
      <c r="B36" s="116" t="s">
        <v>163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90">
        <f t="shared" si="0"/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</row>
    <row r="37" spans="1:15" ht="12.75">
      <c r="A37" s="115">
        <v>28</v>
      </c>
      <c r="B37" s="116" t="s">
        <v>231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90">
        <f t="shared" si="0"/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</row>
    <row r="38" spans="1:15" ht="12.75">
      <c r="A38" s="115">
        <v>29</v>
      </c>
      <c r="B38" s="116" t="s">
        <v>218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90">
        <f t="shared" si="0"/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</row>
    <row r="39" spans="1:15" ht="12.75">
      <c r="A39" s="115">
        <v>30</v>
      </c>
      <c r="B39" s="116" t="s">
        <v>236</v>
      </c>
      <c r="C39" s="116">
        <v>5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90">
        <f t="shared" si="0"/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</row>
    <row r="40" spans="1:15" ht="12.75">
      <c r="A40" s="115">
        <v>31</v>
      </c>
      <c r="B40" s="116" t="s">
        <v>219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90">
        <f t="shared" si="0"/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</row>
    <row r="41" spans="1:15" ht="12.75">
      <c r="A41" s="115">
        <v>32</v>
      </c>
      <c r="B41" s="116" t="s">
        <v>220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90">
        <f t="shared" si="0"/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</row>
    <row r="42" spans="1:15" ht="12.75">
      <c r="A42" s="125">
        <v>33</v>
      </c>
      <c r="B42" s="149" t="s">
        <v>363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90">
        <f>D42-E42-H42</f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</row>
    <row r="43" spans="1:15" ht="12.75">
      <c r="A43" s="115">
        <v>34</v>
      </c>
      <c r="B43" s="116" t="s">
        <v>242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90">
        <f t="shared" si="0"/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</row>
    <row r="44" spans="1:15" ht="12.75">
      <c r="A44" s="115">
        <v>35</v>
      </c>
      <c r="B44" s="116" t="s">
        <v>256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90">
        <f t="shared" si="0"/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</row>
    <row r="45" spans="1:15" ht="12.75">
      <c r="A45" s="115">
        <v>36</v>
      </c>
      <c r="B45" s="116" t="s">
        <v>24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90">
        <f t="shared" si="0"/>
        <v>0</v>
      </c>
      <c r="J45" s="116">
        <v>3</v>
      </c>
      <c r="K45" s="116">
        <v>1</v>
      </c>
      <c r="L45" s="116">
        <v>3</v>
      </c>
      <c r="M45" s="116">
        <v>1</v>
      </c>
      <c r="N45" s="116">
        <v>2</v>
      </c>
      <c r="O45" s="116">
        <v>0</v>
      </c>
    </row>
    <row r="46" spans="1:15" ht="12.75">
      <c r="A46" s="115">
        <v>37</v>
      </c>
      <c r="B46" s="116" t="s">
        <v>223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90">
        <f t="shared" si="0"/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</row>
    <row r="47" spans="1:15" ht="12.75">
      <c r="A47" s="115">
        <v>38</v>
      </c>
      <c r="B47" s="116" t="s">
        <v>364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90">
        <f>D47-E47-H47</f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</row>
    <row r="48" spans="1:15" ht="12.75">
      <c r="A48" s="115">
        <v>39</v>
      </c>
      <c r="B48" s="116" t="s">
        <v>365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90">
        <f t="shared" si="0"/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</row>
    <row r="49" spans="1:15" s="334" customFormat="1" ht="14.25">
      <c r="A49" s="325"/>
      <c r="B49" s="326" t="s">
        <v>225</v>
      </c>
      <c r="C49" s="326">
        <f aca="true" t="shared" si="3" ref="C49:O49">SUM(C36:C48)</f>
        <v>5</v>
      </c>
      <c r="D49" s="326">
        <f t="shared" si="3"/>
        <v>0</v>
      </c>
      <c r="E49" s="326">
        <f t="shared" si="3"/>
        <v>0</v>
      </c>
      <c r="F49" s="326">
        <f t="shared" si="3"/>
        <v>0</v>
      </c>
      <c r="G49" s="326">
        <f t="shared" si="3"/>
        <v>0</v>
      </c>
      <c r="H49" s="326">
        <f t="shared" si="3"/>
        <v>0</v>
      </c>
      <c r="I49" s="197">
        <f t="shared" si="3"/>
        <v>0</v>
      </c>
      <c r="J49" s="326">
        <f t="shared" si="3"/>
        <v>3</v>
      </c>
      <c r="K49" s="326">
        <f t="shared" si="3"/>
        <v>1</v>
      </c>
      <c r="L49" s="326">
        <f t="shared" si="3"/>
        <v>3</v>
      </c>
      <c r="M49" s="326">
        <f t="shared" si="3"/>
        <v>1</v>
      </c>
      <c r="N49" s="326">
        <f t="shared" si="3"/>
        <v>2</v>
      </c>
      <c r="O49" s="326">
        <f t="shared" si="3"/>
        <v>0</v>
      </c>
    </row>
    <row r="50" spans="1:15" s="334" customFormat="1" ht="14.25">
      <c r="A50" s="325"/>
      <c r="B50" s="328" t="s">
        <v>123</v>
      </c>
      <c r="C50" s="326">
        <f aca="true" t="shared" si="4" ref="C50:O50">C27+C35+C49</f>
        <v>1131</v>
      </c>
      <c r="D50" s="326">
        <f t="shared" si="4"/>
        <v>1055</v>
      </c>
      <c r="E50" s="326">
        <f t="shared" si="4"/>
        <v>776</v>
      </c>
      <c r="F50" s="326">
        <f t="shared" si="4"/>
        <v>676</v>
      </c>
      <c r="G50" s="326">
        <f t="shared" si="4"/>
        <v>91</v>
      </c>
      <c r="H50" s="326">
        <f t="shared" si="4"/>
        <v>94</v>
      </c>
      <c r="I50" s="197">
        <f t="shared" si="4"/>
        <v>185</v>
      </c>
      <c r="J50" s="326">
        <f t="shared" si="4"/>
        <v>12031</v>
      </c>
      <c r="K50" s="326">
        <f t="shared" si="4"/>
        <v>3524</v>
      </c>
      <c r="L50" s="326">
        <f t="shared" si="4"/>
        <v>8954</v>
      </c>
      <c r="M50" s="326">
        <f t="shared" si="4"/>
        <v>9936</v>
      </c>
      <c r="N50" s="326">
        <f t="shared" si="4"/>
        <v>2748</v>
      </c>
      <c r="O50" s="326">
        <f t="shared" si="4"/>
        <v>602</v>
      </c>
    </row>
    <row r="51" spans="2:11" ht="15" customHeight="1">
      <c r="B51" s="292"/>
      <c r="C51" s="293"/>
      <c r="D51" s="293"/>
      <c r="E51" s="293"/>
      <c r="F51" s="293"/>
      <c r="G51" s="293"/>
      <c r="H51" s="293"/>
      <c r="I51" s="192"/>
      <c r="J51" s="293"/>
      <c r="K51" s="293"/>
    </row>
    <row r="52" spans="2:11" ht="15" customHeight="1">
      <c r="B52" s="292"/>
      <c r="C52" s="293"/>
      <c r="D52" s="293"/>
      <c r="E52" s="293"/>
      <c r="F52" s="293"/>
      <c r="G52" s="293"/>
      <c r="H52" s="293"/>
      <c r="I52" s="192"/>
      <c r="J52" s="293"/>
      <c r="K52" s="293"/>
    </row>
    <row r="53" spans="2:3" ht="15" customHeight="1">
      <c r="B53" s="292"/>
      <c r="C53" s="293"/>
    </row>
    <row r="54" spans="1:15" ht="19.5" customHeight="1">
      <c r="A54" s="299" t="s">
        <v>122</v>
      </c>
      <c r="B54" s="299" t="s">
        <v>5</v>
      </c>
      <c r="C54" s="300" t="s">
        <v>75</v>
      </c>
      <c r="D54" s="340" t="s">
        <v>436</v>
      </c>
      <c r="E54" s="341"/>
      <c r="F54" s="341"/>
      <c r="G54" s="341"/>
      <c r="H54" s="341"/>
      <c r="I54" s="598"/>
      <c r="J54" s="340" t="s">
        <v>108</v>
      </c>
      <c r="K54" s="341"/>
      <c r="L54" s="342"/>
      <c r="M54" s="342"/>
      <c r="N54" s="342"/>
      <c r="O54" s="343"/>
    </row>
    <row r="55" spans="1:15" ht="12.75">
      <c r="A55" s="301" t="s">
        <v>6</v>
      </c>
      <c r="B55" s="344"/>
      <c r="C55" s="583"/>
      <c r="D55" s="345" t="s">
        <v>79</v>
      </c>
      <c r="E55" s="300" t="s">
        <v>197</v>
      </c>
      <c r="F55" s="582" t="s">
        <v>109</v>
      </c>
      <c r="G55" s="584"/>
      <c r="H55" s="300" t="s">
        <v>79</v>
      </c>
      <c r="I55" s="261" t="s">
        <v>79</v>
      </c>
      <c r="J55" s="346" t="s">
        <v>85</v>
      </c>
      <c r="K55" s="347"/>
      <c r="L55" s="614" t="s">
        <v>246</v>
      </c>
      <c r="M55" s="615"/>
      <c r="N55" s="614" t="s">
        <v>193</v>
      </c>
      <c r="O55" s="615"/>
    </row>
    <row r="56" spans="1:15" ht="12.75">
      <c r="A56" s="344"/>
      <c r="B56" s="301"/>
      <c r="C56" s="302"/>
      <c r="D56" s="302" t="s">
        <v>80</v>
      </c>
      <c r="E56" s="585" t="s">
        <v>76</v>
      </c>
      <c r="F56" s="300" t="s">
        <v>76</v>
      </c>
      <c r="G56" s="300" t="s">
        <v>63</v>
      </c>
      <c r="H56" s="586" t="s">
        <v>81</v>
      </c>
      <c r="I56" s="262" t="s">
        <v>90</v>
      </c>
      <c r="J56" s="348" t="s">
        <v>110</v>
      </c>
      <c r="K56" s="349"/>
      <c r="L56" s="616"/>
      <c r="M56" s="617"/>
      <c r="N56" s="616" t="s">
        <v>144</v>
      </c>
      <c r="O56" s="617"/>
    </row>
    <row r="57" spans="1:15" ht="12.75">
      <c r="A57" s="350"/>
      <c r="B57" s="350"/>
      <c r="C57" s="303"/>
      <c r="D57" s="303"/>
      <c r="E57" s="348"/>
      <c r="F57" s="303"/>
      <c r="G57" s="303" t="s">
        <v>36</v>
      </c>
      <c r="H57" s="349" t="s">
        <v>82</v>
      </c>
      <c r="I57" s="263" t="s">
        <v>92</v>
      </c>
      <c r="J57" s="351" t="s">
        <v>76</v>
      </c>
      <c r="K57" s="351" t="s">
        <v>63</v>
      </c>
      <c r="L57" s="587" t="s">
        <v>76</v>
      </c>
      <c r="M57" s="351" t="s">
        <v>63</v>
      </c>
      <c r="N57" s="351" t="s">
        <v>76</v>
      </c>
      <c r="O57" s="351" t="s">
        <v>63</v>
      </c>
    </row>
    <row r="58" spans="1:15" ht="15.75" customHeight="1">
      <c r="A58" s="115">
        <v>40</v>
      </c>
      <c r="B58" s="116" t="s">
        <v>78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90">
        <f aca="true" t="shared" si="5" ref="I58:I65">D58-E58-H58</f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</row>
    <row r="59" spans="1:15" ht="15.75" customHeight="1">
      <c r="A59" s="115">
        <v>41</v>
      </c>
      <c r="B59" s="116" t="s">
        <v>278</v>
      </c>
      <c r="C59" s="116">
        <v>54</v>
      </c>
      <c r="D59" s="116">
        <v>2</v>
      </c>
      <c r="E59" s="116">
        <v>0</v>
      </c>
      <c r="F59" s="116">
        <v>0</v>
      </c>
      <c r="G59" s="116">
        <v>0</v>
      </c>
      <c r="H59" s="116">
        <v>0</v>
      </c>
      <c r="I59" s="190">
        <f t="shared" si="5"/>
        <v>2</v>
      </c>
      <c r="J59" s="116">
        <v>71</v>
      </c>
      <c r="K59" s="116">
        <v>9</v>
      </c>
      <c r="L59" s="116">
        <v>71</v>
      </c>
      <c r="M59" s="116">
        <v>9</v>
      </c>
      <c r="N59" s="116">
        <v>7</v>
      </c>
      <c r="O59" s="116">
        <v>1</v>
      </c>
    </row>
    <row r="60" spans="1:15" ht="15.75" customHeight="1">
      <c r="A60" s="115">
        <v>42</v>
      </c>
      <c r="B60" s="116" t="s">
        <v>30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90">
        <f t="shared" si="5"/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</row>
    <row r="61" spans="1:15" ht="15.75" customHeight="1">
      <c r="A61" s="115">
        <v>43</v>
      </c>
      <c r="B61" s="116" t="s">
        <v>234</v>
      </c>
      <c r="C61" s="116">
        <v>0</v>
      </c>
      <c r="D61" s="116">
        <v>12</v>
      </c>
      <c r="E61" s="116">
        <v>6</v>
      </c>
      <c r="F61" s="116">
        <v>3</v>
      </c>
      <c r="G61" s="116">
        <v>1</v>
      </c>
      <c r="H61" s="116">
        <v>2</v>
      </c>
      <c r="I61" s="190">
        <f t="shared" si="5"/>
        <v>4</v>
      </c>
      <c r="J61" s="116">
        <v>59</v>
      </c>
      <c r="K61" s="116">
        <v>11</v>
      </c>
      <c r="L61" s="116">
        <v>35</v>
      </c>
      <c r="M61" s="116">
        <v>5</v>
      </c>
      <c r="N61" s="116">
        <v>24</v>
      </c>
      <c r="O61" s="116">
        <v>3</v>
      </c>
    </row>
    <row r="62" spans="1:15" ht="15.75" customHeight="1">
      <c r="A62" s="115">
        <v>44</v>
      </c>
      <c r="B62" s="116" t="s">
        <v>29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90">
        <f t="shared" si="5"/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</row>
    <row r="63" spans="1:15" ht="15.75" customHeight="1">
      <c r="A63" s="115">
        <v>45</v>
      </c>
      <c r="B63" s="116" t="s">
        <v>391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90">
        <f t="shared" si="5"/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</row>
    <row r="64" spans="1:15" ht="15.75" customHeight="1">
      <c r="A64" s="115">
        <v>46</v>
      </c>
      <c r="B64" s="116" t="s">
        <v>25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  <c r="I64" s="190">
        <f t="shared" si="5"/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</row>
    <row r="65" spans="1:15" ht="15.75" customHeight="1">
      <c r="A65" s="115">
        <v>47</v>
      </c>
      <c r="B65" s="116" t="s">
        <v>28</v>
      </c>
      <c r="C65" s="116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  <c r="I65" s="190">
        <f t="shared" si="5"/>
        <v>0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</row>
    <row r="66" spans="1:15" s="334" customFormat="1" ht="15.75" customHeight="1">
      <c r="A66" s="115"/>
      <c r="B66" s="328" t="s">
        <v>123</v>
      </c>
      <c r="C66" s="326">
        <f aca="true" t="shared" si="6" ref="C66:H66">SUM(C58:C65)</f>
        <v>54</v>
      </c>
      <c r="D66" s="326">
        <f t="shared" si="6"/>
        <v>14</v>
      </c>
      <c r="E66" s="326">
        <f t="shared" si="6"/>
        <v>6</v>
      </c>
      <c r="F66" s="326">
        <f t="shared" si="6"/>
        <v>3</v>
      </c>
      <c r="G66" s="326">
        <f t="shared" si="6"/>
        <v>1</v>
      </c>
      <c r="H66" s="326">
        <f t="shared" si="6"/>
        <v>2</v>
      </c>
      <c r="I66" s="197">
        <f>D66-E66-H66</f>
        <v>6</v>
      </c>
      <c r="J66" s="326">
        <f aca="true" t="shared" si="7" ref="J66:O66">SUM(J58:J65)</f>
        <v>130</v>
      </c>
      <c r="K66" s="326">
        <f t="shared" si="7"/>
        <v>20</v>
      </c>
      <c r="L66" s="326">
        <f t="shared" si="7"/>
        <v>106</v>
      </c>
      <c r="M66" s="326">
        <f t="shared" si="7"/>
        <v>14</v>
      </c>
      <c r="N66" s="326">
        <f t="shared" si="7"/>
        <v>31</v>
      </c>
      <c r="O66" s="326">
        <f t="shared" si="7"/>
        <v>4</v>
      </c>
    </row>
    <row r="67" spans="1:15" ht="15.75" customHeight="1">
      <c r="A67" s="115"/>
      <c r="B67" s="116"/>
      <c r="C67" s="116"/>
      <c r="D67" s="116"/>
      <c r="E67" s="116"/>
      <c r="F67" s="116"/>
      <c r="G67" s="116"/>
      <c r="H67" s="116"/>
      <c r="I67" s="190"/>
      <c r="J67" s="116"/>
      <c r="K67" s="116"/>
      <c r="L67" s="116"/>
      <c r="M67" s="116"/>
      <c r="N67" s="116"/>
      <c r="O67" s="116"/>
    </row>
    <row r="68" spans="1:15" ht="15.75" customHeight="1">
      <c r="A68" s="115">
        <v>48</v>
      </c>
      <c r="B68" s="116" t="s">
        <v>34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90">
        <f>D68-E68-H68</f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</row>
    <row r="69" spans="1:15" ht="15.75" customHeight="1">
      <c r="A69" s="115">
        <v>49</v>
      </c>
      <c r="B69" s="116" t="s">
        <v>130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90">
        <f>D69-E69-H69</f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</row>
    <row r="70" spans="1:15" s="334" customFormat="1" ht="15.75" customHeight="1">
      <c r="A70" s="325"/>
      <c r="B70" s="328" t="s">
        <v>123</v>
      </c>
      <c r="C70" s="326">
        <f aca="true" t="shared" si="8" ref="C70:K70">SUM(C68:C69)</f>
        <v>0</v>
      </c>
      <c r="D70" s="326">
        <f t="shared" si="8"/>
        <v>0</v>
      </c>
      <c r="E70" s="326">
        <f t="shared" si="8"/>
        <v>0</v>
      </c>
      <c r="F70" s="326">
        <f t="shared" si="8"/>
        <v>0</v>
      </c>
      <c r="G70" s="326">
        <f t="shared" si="8"/>
        <v>0</v>
      </c>
      <c r="H70" s="326">
        <f t="shared" si="8"/>
        <v>0</v>
      </c>
      <c r="I70" s="198">
        <f>C70-E70-H70</f>
        <v>0</v>
      </c>
      <c r="J70" s="326">
        <f t="shared" si="8"/>
        <v>0</v>
      </c>
      <c r="K70" s="326">
        <f t="shared" si="8"/>
        <v>0</v>
      </c>
      <c r="L70" s="326">
        <f>SUM(L68:L69)</f>
        <v>0</v>
      </c>
      <c r="M70" s="326">
        <f>SUM(M68:M69)</f>
        <v>0</v>
      </c>
      <c r="N70" s="326">
        <f>SUM(N68:N69)</f>
        <v>0</v>
      </c>
      <c r="O70" s="326">
        <f>SUM(O68:O69)</f>
        <v>0</v>
      </c>
    </row>
    <row r="71" spans="1:15" s="334" customFormat="1" ht="15.75" customHeight="1">
      <c r="A71" s="325"/>
      <c r="B71" s="328" t="s">
        <v>35</v>
      </c>
      <c r="C71" s="326">
        <f aca="true" t="shared" si="9" ref="C71:O71">+C50+C66+C70</f>
        <v>1185</v>
      </c>
      <c r="D71" s="326">
        <f t="shared" si="9"/>
        <v>1069</v>
      </c>
      <c r="E71" s="326">
        <f t="shared" si="9"/>
        <v>782</v>
      </c>
      <c r="F71" s="326">
        <f t="shared" si="9"/>
        <v>679</v>
      </c>
      <c r="G71" s="326">
        <f t="shared" si="9"/>
        <v>92</v>
      </c>
      <c r="H71" s="326">
        <f t="shared" si="9"/>
        <v>96</v>
      </c>
      <c r="I71" s="197">
        <f t="shared" si="9"/>
        <v>191</v>
      </c>
      <c r="J71" s="326">
        <f t="shared" si="9"/>
        <v>12161</v>
      </c>
      <c r="K71" s="326">
        <f t="shared" si="9"/>
        <v>3544</v>
      </c>
      <c r="L71" s="326">
        <f t="shared" si="9"/>
        <v>9060</v>
      </c>
      <c r="M71" s="326">
        <f t="shared" si="9"/>
        <v>9950</v>
      </c>
      <c r="N71" s="326">
        <f t="shared" si="9"/>
        <v>2779</v>
      </c>
      <c r="O71" s="326">
        <f t="shared" si="9"/>
        <v>606</v>
      </c>
    </row>
    <row r="73" spans="3:4" ht="12.75">
      <c r="C73" s="127">
        <v>10</v>
      </c>
      <c r="D73" s="127" t="s">
        <v>267</v>
      </c>
    </row>
    <row r="74" spans="2:6" ht="12.75">
      <c r="B74" s="291" t="s">
        <v>36</v>
      </c>
      <c r="C74" s="291" t="s">
        <v>36</v>
      </c>
      <c r="F74" s="291" t="s">
        <v>36</v>
      </c>
    </row>
    <row r="82" ht="12.75">
      <c r="D82" s="127" t="s">
        <v>272</v>
      </c>
    </row>
  </sheetData>
  <sheetProtection/>
  <mergeCells count="8">
    <mergeCell ref="N5:O5"/>
    <mergeCell ref="N6:O6"/>
    <mergeCell ref="N55:O55"/>
    <mergeCell ref="N56:O56"/>
    <mergeCell ref="L5:M5"/>
    <mergeCell ref="L6:M6"/>
    <mergeCell ref="L55:M55"/>
    <mergeCell ref="L56:M56"/>
  </mergeCells>
  <printOptions gridLines="1" horizontalCentered="1"/>
  <pageMargins left="0.5" right="0.5" top="0.38" bottom="0.75" header="0.28" footer="0.5"/>
  <pageSetup blackAndWhite="1" horizontalDpi="300" verticalDpi="300" orientation="landscape" paperSize="9" scale="77" r:id="rId2"/>
  <rowBreaks count="1" manualBreakCount="1">
    <brk id="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="120" zoomScaleNormal="120" zoomScalePageLayoutView="0" workbookViewId="0" topLeftCell="A1">
      <selection activeCell="D61" sqref="D61"/>
    </sheetView>
  </sheetViews>
  <sheetFormatPr defaultColWidth="9.140625" defaultRowHeight="12.75"/>
  <cols>
    <col min="1" max="1" width="3.7109375" style="305" customWidth="1"/>
    <col min="2" max="2" width="22.7109375" style="117" customWidth="1"/>
    <col min="3" max="3" width="11.00390625" style="127" customWidth="1"/>
    <col min="4" max="4" width="10.28125" style="127" customWidth="1"/>
    <col min="5" max="5" width="13.8515625" style="127" customWidth="1"/>
    <col min="6" max="6" width="10.28125" style="127" customWidth="1"/>
    <col min="7" max="7" width="9.57421875" style="127" customWidth="1"/>
    <col min="8" max="8" width="9.140625" style="127" customWidth="1"/>
    <col min="9" max="9" width="9.140625" style="99" customWidth="1"/>
    <col min="10" max="10" width="9.8515625" style="127" customWidth="1"/>
    <col min="11" max="15" width="9.140625" style="127" customWidth="1"/>
    <col min="16" max="16384" width="9.140625" style="117" customWidth="1"/>
  </cols>
  <sheetData>
    <row r="1" spans="1:6" ht="16.5" customHeight="1">
      <c r="A1" s="491"/>
      <c r="B1" s="292"/>
      <c r="C1" s="293"/>
      <c r="D1" s="294"/>
      <c r="E1" s="294"/>
      <c r="F1" s="294"/>
    </row>
    <row r="2" spans="4:11" ht="16.5" customHeight="1">
      <c r="D2" s="294"/>
      <c r="E2" s="294"/>
      <c r="I2" s="192"/>
      <c r="J2" s="293"/>
      <c r="K2" s="293"/>
    </row>
    <row r="3" spans="4:11" ht="16.5" customHeight="1">
      <c r="D3" s="294"/>
      <c r="E3" s="294"/>
      <c r="I3" s="192"/>
      <c r="J3" s="293"/>
      <c r="K3" s="293"/>
    </row>
    <row r="4" spans="1:34" ht="13.5" customHeight="1">
      <c r="A4" s="175" t="s">
        <v>122</v>
      </c>
      <c r="B4" s="488" t="s">
        <v>5</v>
      </c>
      <c r="C4" s="282" t="s">
        <v>75</v>
      </c>
      <c r="D4" s="340" t="s">
        <v>436</v>
      </c>
      <c r="E4" s="341"/>
      <c r="F4" s="341"/>
      <c r="G4" s="341"/>
      <c r="H4" s="341"/>
      <c r="I4" s="254"/>
      <c r="J4" s="353" t="s">
        <v>108</v>
      </c>
      <c r="K4" s="354"/>
      <c r="L4" s="355"/>
      <c r="M4" s="355"/>
      <c r="N4" s="339"/>
      <c r="O4" s="14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12.75">
      <c r="A5" s="175" t="s">
        <v>6</v>
      </c>
      <c r="B5" s="570"/>
      <c r="C5" s="571"/>
      <c r="D5" s="572" t="s">
        <v>79</v>
      </c>
      <c r="E5" s="568" t="s">
        <v>197</v>
      </c>
      <c r="F5" s="568" t="s">
        <v>109</v>
      </c>
      <c r="G5" s="569"/>
      <c r="H5" s="569" t="s">
        <v>79</v>
      </c>
      <c r="I5" s="257" t="s">
        <v>79</v>
      </c>
      <c r="J5" s="356" t="s">
        <v>85</v>
      </c>
      <c r="K5" s="573"/>
      <c r="L5" s="636" t="s">
        <v>246</v>
      </c>
      <c r="M5" s="637"/>
      <c r="N5" s="636" t="s">
        <v>193</v>
      </c>
      <c r="O5" s="637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ht="12.75">
      <c r="A6" s="115"/>
      <c r="B6" s="489"/>
      <c r="C6" s="357"/>
      <c r="D6" s="357" t="s">
        <v>80</v>
      </c>
      <c r="E6" s="358" t="s">
        <v>76</v>
      </c>
      <c r="F6" s="358" t="s">
        <v>76</v>
      </c>
      <c r="G6" s="358" t="s">
        <v>63</v>
      </c>
      <c r="H6" s="574" t="s">
        <v>81</v>
      </c>
      <c r="I6" s="268" t="s">
        <v>90</v>
      </c>
      <c r="J6" s="575" t="s">
        <v>110</v>
      </c>
      <c r="K6" s="574"/>
      <c r="L6" s="618"/>
      <c r="M6" s="619"/>
      <c r="N6" s="618" t="s">
        <v>144</v>
      </c>
      <c r="O6" s="6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ht="12.75">
      <c r="A7" s="175"/>
      <c r="B7" s="490"/>
      <c r="C7" s="279"/>
      <c r="D7" s="279"/>
      <c r="E7" s="576"/>
      <c r="F7" s="576"/>
      <c r="G7" s="577" t="s">
        <v>36</v>
      </c>
      <c r="H7" s="577" t="s">
        <v>82</v>
      </c>
      <c r="I7" s="256" t="s">
        <v>92</v>
      </c>
      <c r="J7" s="358" t="s">
        <v>76</v>
      </c>
      <c r="K7" s="358" t="s">
        <v>63</v>
      </c>
      <c r="L7" s="358" t="s">
        <v>76</v>
      </c>
      <c r="M7" s="358" t="s">
        <v>63</v>
      </c>
      <c r="N7" s="358" t="s">
        <v>76</v>
      </c>
      <c r="O7" s="358" t="s">
        <v>63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12.75">
      <c r="A8" s="115">
        <v>1</v>
      </c>
      <c r="B8" s="339" t="s">
        <v>7</v>
      </c>
      <c r="C8" s="116">
        <v>0</v>
      </c>
      <c r="D8" s="116">
        <v>82</v>
      </c>
      <c r="E8" s="116">
        <v>69</v>
      </c>
      <c r="F8" s="116">
        <v>44</v>
      </c>
      <c r="G8" s="116">
        <v>25</v>
      </c>
      <c r="H8" s="116">
        <v>13</v>
      </c>
      <c r="I8" s="190">
        <f aca="true" t="shared" si="0" ref="I8:I34">D8-E8-H8</f>
        <v>0</v>
      </c>
      <c r="J8" s="116">
        <v>1527</v>
      </c>
      <c r="K8" s="116">
        <v>382</v>
      </c>
      <c r="L8" s="116">
        <v>1450</v>
      </c>
      <c r="M8" s="116">
        <v>330</v>
      </c>
      <c r="N8" s="116">
        <v>164</v>
      </c>
      <c r="O8" s="116">
        <v>53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12.75">
      <c r="A9" s="115">
        <v>2</v>
      </c>
      <c r="B9" s="339" t="s">
        <v>8</v>
      </c>
      <c r="C9" s="116">
        <v>22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90">
        <f t="shared" si="0"/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12.75">
      <c r="A10" s="115">
        <v>3</v>
      </c>
      <c r="B10" s="339" t="s">
        <v>9</v>
      </c>
      <c r="C10" s="116">
        <v>0</v>
      </c>
      <c r="D10" s="116">
        <v>42</v>
      </c>
      <c r="E10" s="116">
        <v>36</v>
      </c>
      <c r="F10" s="116">
        <v>36</v>
      </c>
      <c r="G10" s="116">
        <v>18</v>
      </c>
      <c r="H10" s="116">
        <v>6</v>
      </c>
      <c r="I10" s="190">
        <f t="shared" si="0"/>
        <v>0</v>
      </c>
      <c r="J10" s="116">
        <v>267</v>
      </c>
      <c r="K10" s="116">
        <v>49</v>
      </c>
      <c r="L10" s="116">
        <v>267</v>
      </c>
      <c r="M10" s="116">
        <v>49</v>
      </c>
      <c r="N10" s="116">
        <v>16</v>
      </c>
      <c r="O10" s="116">
        <v>7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12.75">
      <c r="A11" s="115">
        <v>4</v>
      </c>
      <c r="B11" s="339" t="s">
        <v>10</v>
      </c>
      <c r="C11" s="116">
        <v>0</v>
      </c>
      <c r="D11" s="116">
        <v>56</v>
      </c>
      <c r="E11" s="116">
        <v>42</v>
      </c>
      <c r="F11" s="116">
        <v>37</v>
      </c>
      <c r="G11" s="116">
        <v>15</v>
      </c>
      <c r="H11" s="116">
        <v>0</v>
      </c>
      <c r="I11" s="190">
        <f t="shared" si="0"/>
        <v>14</v>
      </c>
      <c r="J11" s="116">
        <v>351</v>
      </c>
      <c r="K11" s="116">
        <v>279</v>
      </c>
      <c r="L11" s="116">
        <v>351</v>
      </c>
      <c r="M11" s="116">
        <v>279</v>
      </c>
      <c r="N11" s="116">
        <v>119</v>
      </c>
      <c r="O11" s="116">
        <v>74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12.75">
      <c r="A12" s="115">
        <v>5</v>
      </c>
      <c r="B12" s="339" t="s">
        <v>11</v>
      </c>
      <c r="C12" s="116">
        <v>0</v>
      </c>
      <c r="D12" s="116">
        <v>19</v>
      </c>
      <c r="E12" s="116">
        <v>6</v>
      </c>
      <c r="F12" s="116">
        <v>2</v>
      </c>
      <c r="G12" s="116">
        <v>1</v>
      </c>
      <c r="H12" s="116">
        <v>0</v>
      </c>
      <c r="I12" s="190">
        <f t="shared" si="0"/>
        <v>13</v>
      </c>
      <c r="J12" s="116">
        <v>1126</v>
      </c>
      <c r="K12" s="116">
        <v>412</v>
      </c>
      <c r="L12" s="116">
        <v>455</v>
      </c>
      <c r="M12" s="116">
        <v>142</v>
      </c>
      <c r="N12" s="116">
        <v>92</v>
      </c>
      <c r="O12" s="116">
        <v>14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12.75">
      <c r="A13" s="115">
        <v>6</v>
      </c>
      <c r="B13" s="339" t="s">
        <v>12</v>
      </c>
      <c r="C13" s="116">
        <v>154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90">
        <f t="shared" si="0"/>
        <v>0</v>
      </c>
      <c r="J13" s="116">
        <v>0</v>
      </c>
      <c r="K13" s="116">
        <v>16</v>
      </c>
      <c r="L13" s="116">
        <v>0</v>
      </c>
      <c r="M13" s="116">
        <v>0</v>
      </c>
      <c r="N13" s="116">
        <v>0</v>
      </c>
      <c r="O13" s="116">
        <v>0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12.75">
      <c r="A14" s="115">
        <v>7</v>
      </c>
      <c r="B14" s="339" t="s">
        <v>13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90">
        <f t="shared" si="0"/>
        <v>0</v>
      </c>
      <c r="J14" s="116">
        <v>2968</v>
      </c>
      <c r="K14" s="116">
        <v>1067</v>
      </c>
      <c r="L14" s="116">
        <v>0</v>
      </c>
      <c r="M14" s="116">
        <v>0</v>
      </c>
      <c r="N14" s="116">
        <v>0</v>
      </c>
      <c r="O14" s="116">
        <v>0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12.75">
      <c r="A15" s="115">
        <v>8</v>
      </c>
      <c r="B15" s="339" t="s">
        <v>162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90">
        <f t="shared" si="0"/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12.75">
      <c r="A16" s="115">
        <v>9</v>
      </c>
      <c r="B16" s="339" t="s">
        <v>14</v>
      </c>
      <c r="C16" s="116">
        <v>43</v>
      </c>
      <c r="D16" s="116">
        <v>87</v>
      </c>
      <c r="E16" s="116">
        <v>33</v>
      </c>
      <c r="F16" s="116">
        <v>17</v>
      </c>
      <c r="G16" s="116">
        <v>6</v>
      </c>
      <c r="H16" s="116">
        <v>4</v>
      </c>
      <c r="I16" s="190">
        <f t="shared" si="0"/>
        <v>50</v>
      </c>
      <c r="J16" s="116">
        <v>259</v>
      </c>
      <c r="K16" s="116">
        <v>49</v>
      </c>
      <c r="L16" s="116">
        <v>259</v>
      </c>
      <c r="M16" s="116">
        <v>49</v>
      </c>
      <c r="N16" s="116">
        <v>75</v>
      </c>
      <c r="O16" s="116">
        <v>11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ht="12.75">
      <c r="A17" s="115">
        <v>10</v>
      </c>
      <c r="B17" s="339" t="s">
        <v>15</v>
      </c>
      <c r="C17" s="116">
        <v>44</v>
      </c>
      <c r="D17" s="116">
        <v>48</v>
      </c>
      <c r="E17" s="116">
        <v>36</v>
      </c>
      <c r="F17" s="116">
        <v>31</v>
      </c>
      <c r="G17" s="116">
        <v>7</v>
      </c>
      <c r="H17" s="116">
        <v>9</v>
      </c>
      <c r="I17" s="190">
        <f t="shared" si="0"/>
        <v>3</v>
      </c>
      <c r="J17" s="116">
        <v>93</v>
      </c>
      <c r="K17" s="116">
        <v>19</v>
      </c>
      <c r="L17" s="116">
        <v>93</v>
      </c>
      <c r="M17" s="116">
        <v>19</v>
      </c>
      <c r="N17" s="116">
        <v>37</v>
      </c>
      <c r="O17" s="116">
        <v>7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ht="12.75">
      <c r="A18" s="115">
        <v>11</v>
      </c>
      <c r="B18" s="339" t="s">
        <v>16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90">
        <f t="shared" si="0"/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ht="12.75">
      <c r="A19" s="115">
        <v>12</v>
      </c>
      <c r="B19" s="339" t="s">
        <v>17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90">
        <f t="shared" si="0"/>
        <v>0</v>
      </c>
      <c r="J19" s="116">
        <v>611</v>
      </c>
      <c r="K19" s="116">
        <v>101</v>
      </c>
      <c r="L19" s="116">
        <v>533</v>
      </c>
      <c r="M19" s="116">
        <v>88</v>
      </c>
      <c r="N19" s="116">
        <v>239</v>
      </c>
      <c r="O19" s="116">
        <v>30</v>
      </c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ht="12.75">
      <c r="A20" s="115">
        <v>13</v>
      </c>
      <c r="B20" s="339" t="s">
        <v>164</v>
      </c>
      <c r="C20" s="116">
        <v>175</v>
      </c>
      <c r="D20" s="116">
        <v>40</v>
      </c>
      <c r="E20" s="116">
        <v>17</v>
      </c>
      <c r="F20" s="116">
        <v>6</v>
      </c>
      <c r="G20" s="116">
        <v>3</v>
      </c>
      <c r="H20" s="116">
        <v>0</v>
      </c>
      <c r="I20" s="190">
        <f t="shared" si="0"/>
        <v>23</v>
      </c>
      <c r="J20" s="116">
        <v>157</v>
      </c>
      <c r="K20" s="116">
        <v>73</v>
      </c>
      <c r="L20" s="116">
        <v>0</v>
      </c>
      <c r="M20" s="116">
        <v>0</v>
      </c>
      <c r="N20" s="116">
        <v>0</v>
      </c>
      <c r="O20" s="116">
        <v>0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12.75">
      <c r="A21" s="115">
        <v>14</v>
      </c>
      <c r="B21" s="339" t="s">
        <v>77</v>
      </c>
      <c r="C21" s="116">
        <v>28</v>
      </c>
      <c r="D21" s="116">
        <v>122</v>
      </c>
      <c r="E21" s="116">
        <v>122</v>
      </c>
      <c r="F21" s="116">
        <v>50</v>
      </c>
      <c r="G21" s="116">
        <v>35</v>
      </c>
      <c r="H21" s="116">
        <v>0</v>
      </c>
      <c r="I21" s="190">
        <f t="shared" si="0"/>
        <v>0</v>
      </c>
      <c r="J21" s="116">
        <v>1342</v>
      </c>
      <c r="K21" s="116">
        <v>242</v>
      </c>
      <c r="L21" s="116">
        <v>677</v>
      </c>
      <c r="M21" s="116">
        <v>103</v>
      </c>
      <c r="N21" s="116">
        <v>263</v>
      </c>
      <c r="O21" s="116">
        <v>52</v>
      </c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ht="12.75">
      <c r="A22" s="115">
        <v>15</v>
      </c>
      <c r="B22" s="339" t="s">
        <v>105</v>
      </c>
      <c r="C22" s="116">
        <v>41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90">
        <f t="shared" si="0"/>
        <v>0</v>
      </c>
      <c r="J22" s="116">
        <v>32</v>
      </c>
      <c r="K22" s="116">
        <v>3</v>
      </c>
      <c r="L22" s="116">
        <v>28</v>
      </c>
      <c r="M22" s="116">
        <v>2</v>
      </c>
      <c r="N22" s="116">
        <v>0</v>
      </c>
      <c r="O22" s="116">
        <v>0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ht="12.75">
      <c r="A23" s="115">
        <v>16</v>
      </c>
      <c r="B23" s="339" t="s">
        <v>20</v>
      </c>
      <c r="C23" s="116">
        <v>0</v>
      </c>
      <c r="D23" s="116">
        <v>135</v>
      </c>
      <c r="E23" s="116">
        <v>135</v>
      </c>
      <c r="F23" s="116">
        <v>135</v>
      </c>
      <c r="G23" s="116">
        <v>54</v>
      </c>
      <c r="H23" s="116">
        <v>0</v>
      </c>
      <c r="I23" s="190">
        <f t="shared" si="0"/>
        <v>0</v>
      </c>
      <c r="J23" s="116">
        <v>1127</v>
      </c>
      <c r="K23" s="116">
        <v>655</v>
      </c>
      <c r="L23" s="116">
        <v>1071</v>
      </c>
      <c r="M23" s="116">
        <v>482</v>
      </c>
      <c r="N23" s="116">
        <v>192</v>
      </c>
      <c r="O23" s="116">
        <v>97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ht="12.75">
      <c r="A24" s="115">
        <v>17</v>
      </c>
      <c r="B24" s="339" t="s">
        <v>21</v>
      </c>
      <c r="C24" s="116">
        <v>46</v>
      </c>
      <c r="D24" s="116">
        <v>176</v>
      </c>
      <c r="E24" s="116">
        <v>102</v>
      </c>
      <c r="F24" s="116">
        <v>65</v>
      </c>
      <c r="G24" s="116">
        <v>79</v>
      </c>
      <c r="H24" s="116">
        <v>9</v>
      </c>
      <c r="I24" s="190">
        <f t="shared" si="0"/>
        <v>65</v>
      </c>
      <c r="J24" s="116">
        <v>568</v>
      </c>
      <c r="K24" s="116">
        <v>135</v>
      </c>
      <c r="L24" s="116">
        <v>523</v>
      </c>
      <c r="M24" s="116">
        <v>113</v>
      </c>
      <c r="N24" s="116">
        <v>161</v>
      </c>
      <c r="O24" s="116">
        <v>37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ht="12.75">
      <c r="A25" s="115">
        <v>18</v>
      </c>
      <c r="B25" s="339" t="s">
        <v>19</v>
      </c>
      <c r="C25" s="116">
        <v>2</v>
      </c>
      <c r="D25" s="116">
        <v>8</v>
      </c>
      <c r="E25" s="116">
        <v>5</v>
      </c>
      <c r="F25" s="116">
        <v>2</v>
      </c>
      <c r="G25" s="116">
        <v>1</v>
      </c>
      <c r="H25" s="116">
        <v>1</v>
      </c>
      <c r="I25" s="190">
        <f t="shared" si="0"/>
        <v>2</v>
      </c>
      <c r="J25" s="116">
        <v>15</v>
      </c>
      <c r="K25" s="116">
        <v>3</v>
      </c>
      <c r="L25" s="116">
        <v>15</v>
      </c>
      <c r="M25" s="116">
        <v>3</v>
      </c>
      <c r="N25" s="116">
        <v>3</v>
      </c>
      <c r="O25" s="116">
        <v>1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 ht="12.75">
      <c r="A26" s="115">
        <v>19</v>
      </c>
      <c r="B26" s="339" t="s">
        <v>124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90">
        <f t="shared" si="0"/>
        <v>0</v>
      </c>
      <c r="J26" s="116">
        <v>105</v>
      </c>
      <c r="K26" s="116">
        <v>119</v>
      </c>
      <c r="L26" s="116">
        <v>0</v>
      </c>
      <c r="M26" s="116">
        <v>0</v>
      </c>
      <c r="N26" s="116">
        <v>0</v>
      </c>
      <c r="O26" s="116">
        <v>0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1:34" s="334" customFormat="1" ht="14.25">
      <c r="A27" s="325"/>
      <c r="B27" s="578" t="s">
        <v>224</v>
      </c>
      <c r="C27" s="326">
        <f aca="true" t="shared" si="1" ref="C27:M27">SUM(C8:C26)</f>
        <v>555</v>
      </c>
      <c r="D27" s="326">
        <f t="shared" si="1"/>
        <v>815</v>
      </c>
      <c r="E27" s="326">
        <f t="shared" si="1"/>
        <v>603</v>
      </c>
      <c r="F27" s="326">
        <f t="shared" si="1"/>
        <v>425</v>
      </c>
      <c r="G27" s="326">
        <f t="shared" si="1"/>
        <v>244</v>
      </c>
      <c r="H27" s="326">
        <f t="shared" si="1"/>
        <v>42</v>
      </c>
      <c r="I27" s="197">
        <f>D27-E27-H27</f>
        <v>170</v>
      </c>
      <c r="J27" s="326">
        <f t="shared" si="1"/>
        <v>10548</v>
      </c>
      <c r="K27" s="326">
        <f t="shared" si="1"/>
        <v>3604</v>
      </c>
      <c r="L27" s="326">
        <f t="shared" si="1"/>
        <v>5722</v>
      </c>
      <c r="M27" s="326">
        <f t="shared" si="1"/>
        <v>1659</v>
      </c>
      <c r="N27" s="326">
        <f>SUM(N8:N26)</f>
        <v>1361</v>
      </c>
      <c r="O27" s="326">
        <f>SUM(O8:O26)</f>
        <v>383</v>
      </c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</row>
    <row r="28" spans="1:34" ht="12.75">
      <c r="A28" s="115">
        <v>20</v>
      </c>
      <c r="B28" s="339" t="s">
        <v>23</v>
      </c>
      <c r="C28" s="116">
        <v>18</v>
      </c>
      <c r="D28" s="116">
        <v>20</v>
      </c>
      <c r="E28" s="116">
        <v>10</v>
      </c>
      <c r="F28" s="116">
        <v>0</v>
      </c>
      <c r="G28" s="116">
        <v>0</v>
      </c>
      <c r="H28" s="116">
        <v>0</v>
      </c>
      <c r="I28" s="190">
        <f t="shared" si="0"/>
        <v>10</v>
      </c>
      <c r="J28" s="116">
        <v>0</v>
      </c>
      <c r="K28" s="116">
        <v>0</v>
      </c>
      <c r="L28" s="116">
        <v>2</v>
      </c>
      <c r="M28" s="116">
        <v>0</v>
      </c>
      <c r="N28" s="116">
        <v>0</v>
      </c>
      <c r="O28" s="116">
        <v>0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1:34" ht="12.75">
      <c r="A29" s="115">
        <v>21</v>
      </c>
      <c r="B29" s="339" t="s">
        <v>269</v>
      </c>
      <c r="C29" s="116">
        <v>2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90">
        <f t="shared" si="0"/>
        <v>0</v>
      </c>
      <c r="J29" s="116">
        <v>1</v>
      </c>
      <c r="K29" s="116">
        <v>0</v>
      </c>
      <c r="L29" s="116">
        <v>1</v>
      </c>
      <c r="M29" s="116">
        <v>0</v>
      </c>
      <c r="N29" s="116">
        <v>0</v>
      </c>
      <c r="O29" s="116">
        <v>0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4" ht="12.75">
      <c r="A30" s="115">
        <v>22</v>
      </c>
      <c r="B30" s="339" t="s">
        <v>169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90">
        <f t="shared" si="0"/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1:34" ht="12.75">
      <c r="A31" s="115">
        <v>23</v>
      </c>
      <c r="B31" s="339" t="s">
        <v>22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90">
        <f t="shared" si="0"/>
        <v>0</v>
      </c>
      <c r="J31" s="116">
        <v>46</v>
      </c>
      <c r="K31" s="116">
        <v>16</v>
      </c>
      <c r="L31" s="116">
        <v>46</v>
      </c>
      <c r="M31" s="116">
        <v>16</v>
      </c>
      <c r="N31" s="116">
        <v>14</v>
      </c>
      <c r="O31" s="116">
        <v>6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  <row r="32" spans="1:34" ht="12.75">
      <c r="A32" s="115">
        <v>24</v>
      </c>
      <c r="B32" s="339" t="s">
        <v>141</v>
      </c>
      <c r="C32" s="116">
        <v>1</v>
      </c>
      <c r="D32" s="116">
        <v>0</v>
      </c>
      <c r="E32" s="116">
        <v>0</v>
      </c>
      <c r="F32" s="116">
        <v>0</v>
      </c>
      <c r="G32" s="116">
        <v>1</v>
      </c>
      <c r="H32" s="116">
        <v>0</v>
      </c>
      <c r="I32" s="190">
        <f t="shared" si="0"/>
        <v>0</v>
      </c>
      <c r="J32" s="116">
        <v>56</v>
      </c>
      <c r="K32" s="116">
        <v>12</v>
      </c>
      <c r="L32" s="116">
        <v>56</v>
      </c>
      <c r="M32" s="116">
        <v>12</v>
      </c>
      <c r="N32" s="116">
        <v>0</v>
      </c>
      <c r="O32" s="116">
        <v>0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</row>
    <row r="33" spans="1:34" ht="12.75">
      <c r="A33" s="115">
        <v>25</v>
      </c>
      <c r="B33" s="339" t="s">
        <v>18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90">
        <f t="shared" si="0"/>
        <v>0</v>
      </c>
      <c r="J33" s="116">
        <v>2472</v>
      </c>
      <c r="K33" s="116">
        <v>714</v>
      </c>
      <c r="L33" s="116">
        <v>664</v>
      </c>
      <c r="M33" s="116">
        <v>207</v>
      </c>
      <c r="N33" s="116">
        <v>404</v>
      </c>
      <c r="O33" s="116">
        <v>127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ht="12.75">
      <c r="A34" s="115">
        <v>26</v>
      </c>
      <c r="B34" s="339" t="s">
        <v>104</v>
      </c>
      <c r="C34" s="116">
        <v>0</v>
      </c>
      <c r="D34" s="116">
        <v>375</v>
      </c>
      <c r="E34" s="116">
        <v>360</v>
      </c>
      <c r="F34" s="116">
        <v>352</v>
      </c>
      <c r="G34" s="116">
        <v>223</v>
      </c>
      <c r="H34" s="116">
        <v>0</v>
      </c>
      <c r="I34" s="190">
        <f t="shared" si="0"/>
        <v>15</v>
      </c>
      <c r="J34" s="116">
        <v>6188</v>
      </c>
      <c r="K34" s="116">
        <v>1929</v>
      </c>
      <c r="L34" s="116">
        <v>2733</v>
      </c>
      <c r="M34" s="116">
        <v>688</v>
      </c>
      <c r="N34" s="116">
        <v>593</v>
      </c>
      <c r="O34" s="116">
        <v>14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34" s="334" customFormat="1" ht="14.25">
      <c r="A35" s="325"/>
      <c r="B35" s="578" t="s">
        <v>226</v>
      </c>
      <c r="C35" s="326">
        <f aca="true" t="shared" si="2" ref="C35:M35">SUM(C28:C34)</f>
        <v>21</v>
      </c>
      <c r="D35" s="326">
        <f t="shared" si="2"/>
        <v>395</v>
      </c>
      <c r="E35" s="326">
        <f t="shared" si="2"/>
        <v>370</v>
      </c>
      <c r="F35" s="326">
        <f t="shared" si="2"/>
        <v>352</v>
      </c>
      <c r="G35" s="326">
        <f t="shared" si="2"/>
        <v>224</v>
      </c>
      <c r="H35" s="326">
        <f t="shared" si="2"/>
        <v>0</v>
      </c>
      <c r="I35" s="197">
        <f>D35-E35-H35</f>
        <v>25</v>
      </c>
      <c r="J35" s="326">
        <f t="shared" si="2"/>
        <v>8763</v>
      </c>
      <c r="K35" s="326">
        <f t="shared" si="2"/>
        <v>2671</v>
      </c>
      <c r="L35" s="326">
        <f t="shared" si="2"/>
        <v>3502</v>
      </c>
      <c r="M35" s="326">
        <f t="shared" si="2"/>
        <v>923</v>
      </c>
      <c r="N35" s="326">
        <f>SUM(N28:N34)</f>
        <v>1011</v>
      </c>
      <c r="O35" s="326">
        <f>SUM(O28:O34)</f>
        <v>147</v>
      </c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</row>
    <row r="36" spans="1:34" ht="12.75">
      <c r="A36" s="115">
        <v>27</v>
      </c>
      <c r="B36" s="339" t="s">
        <v>163</v>
      </c>
      <c r="C36" s="116">
        <v>28</v>
      </c>
      <c r="D36" s="116">
        <v>29</v>
      </c>
      <c r="E36" s="116">
        <v>1</v>
      </c>
      <c r="F36" s="116">
        <v>1</v>
      </c>
      <c r="G36" s="116">
        <v>0</v>
      </c>
      <c r="H36" s="116">
        <v>0</v>
      </c>
      <c r="I36" s="190">
        <f aca="true" t="shared" si="3" ref="I36:I48">D36-E36-H36</f>
        <v>28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1:34" ht="12.75">
      <c r="A37" s="115">
        <v>28</v>
      </c>
      <c r="B37" s="339" t="s">
        <v>231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90">
        <f t="shared" si="3"/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  <row r="38" spans="1:34" ht="12.75">
      <c r="A38" s="115">
        <v>29</v>
      </c>
      <c r="B38" s="339" t="s">
        <v>218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90">
        <f t="shared" si="3"/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:34" ht="12.75">
      <c r="A39" s="115">
        <v>30</v>
      </c>
      <c r="B39" s="339" t="s">
        <v>236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90">
        <f t="shared" si="3"/>
        <v>0</v>
      </c>
      <c r="J39" s="116">
        <v>32</v>
      </c>
      <c r="K39" s="116">
        <v>8</v>
      </c>
      <c r="L39" s="116">
        <v>14</v>
      </c>
      <c r="M39" s="116">
        <v>2</v>
      </c>
      <c r="N39" s="116">
        <v>4</v>
      </c>
      <c r="O39" s="116">
        <v>0</v>
      </c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  <row r="40" spans="1:34" ht="12.75">
      <c r="A40" s="115">
        <v>31</v>
      </c>
      <c r="B40" s="339" t="s">
        <v>219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90">
        <f t="shared" si="3"/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</row>
    <row r="41" spans="1:34" ht="12.75">
      <c r="A41" s="115">
        <v>32</v>
      </c>
      <c r="B41" s="339" t="s">
        <v>220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90">
        <f t="shared" si="3"/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</row>
    <row r="42" spans="1:34" ht="12.75">
      <c r="A42" s="125">
        <v>33</v>
      </c>
      <c r="B42" s="580" t="s">
        <v>363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90">
        <f t="shared" si="3"/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</row>
    <row r="43" spans="1:34" ht="12.75">
      <c r="A43" s="115">
        <v>34</v>
      </c>
      <c r="B43" s="339" t="s">
        <v>242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90">
        <f t="shared" si="3"/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</row>
    <row r="44" spans="1:34" ht="12.75">
      <c r="A44" s="115">
        <v>35</v>
      </c>
      <c r="B44" s="339" t="s">
        <v>256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90">
        <f t="shared" si="3"/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</row>
    <row r="45" spans="1:34" ht="12.75">
      <c r="A45" s="115">
        <v>36</v>
      </c>
      <c r="B45" s="339" t="s">
        <v>24</v>
      </c>
      <c r="C45" s="116">
        <v>0</v>
      </c>
      <c r="D45" s="116">
        <v>1</v>
      </c>
      <c r="E45" s="116">
        <v>1</v>
      </c>
      <c r="F45" s="116">
        <v>0</v>
      </c>
      <c r="G45" s="116">
        <v>0</v>
      </c>
      <c r="H45" s="116">
        <v>0</v>
      </c>
      <c r="I45" s="190">
        <f t="shared" si="3"/>
        <v>0</v>
      </c>
      <c r="J45" s="116">
        <v>13</v>
      </c>
      <c r="K45" s="116">
        <v>3</v>
      </c>
      <c r="L45" s="116">
        <v>13</v>
      </c>
      <c r="M45" s="116">
        <v>3</v>
      </c>
      <c r="N45" s="116">
        <v>2</v>
      </c>
      <c r="O45" s="116">
        <v>0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</row>
    <row r="46" spans="1:34" ht="12.75">
      <c r="A46" s="115">
        <v>37</v>
      </c>
      <c r="B46" s="339" t="s">
        <v>223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90">
        <f t="shared" si="3"/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</row>
    <row r="47" spans="1:34" ht="12.75">
      <c r="A47" s="115">
        <v>38</v>
      </c>
      <c r="B47" s="339" t="s">
        <v>364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90">
        <f t="shared" si="3"/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</row>
    <row r="48" spans="1:34" ht="12.75">
      <c r="A48" s="115">
        <v>39</v>
      </c>
      <c r="B48" s="339" t="s">
        <v>366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90">
        <f t="shared" si="3"/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</row>
    <row r="49" spans="1:34" s="334" customFormat="1" ht="14.25">
      <c r="A49" s="325"/>
      <c r="B49" s="578" t="s">
        <v>225</v>
      </c>
      <c r="C49" s="326">
        <f aca="true" t="shared" si="4" ref="C49:O49">SUM(C36:C48)</f>
        <v>28</v>
      </c>
      <c r="D49" s="326">
        <f t="shared" si="4"/>
        <v>30</v>
      </c>
      <c r="E49" s="326">
        <f t="shared" si="4"/>
        <v>2</v>
      </c>
      <c r="F49" s="326">
        <f t="shared" si="4"/>
        <v>1</v>
      </c>
      <c r="G49" s="326">
        <f t="shared" si="4"/>
        <v>0</v>
      </c>
      <c r="H49" s="326">
        <f t="shared" si="4"/>
        <v>0</v>
      </c>
      <c r="I49" s="197">
        <f t="shared" si="4"/>
        <v>28</v>
      </c>
      <c r="J49" s="326">
        <f t="shared" si="4"/>
        <v>45</v>
      </c>
      <c r="K49" s="326">
        <f t="shared" si="4"/>
        <v>11</v>
      </c>
      <c r="L49" s="326">
        <f t="shared" si="4"/>
        <v>27</v>
      </c>
      <c r="M49" s="326">
        <f t="shared" si="4"/>
        <v>5</v>
      </c>
      <c r="N49" s="326">
        <f t="shared" si="4"/>
        <v>6</v>
      </c>
      <c r="O49" s="326">
        <f t="shared" si="4"/>
        <v>0</v>
      </c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</row>
    <row r="50" spans="1:34" s="334" customFormat="1" ht="14.25">
      <c r="A50" s="325"/>
      <c r="B50" s="581" t="s">
        <v>123</v>
      </c>
      <c r="C50" s="326">
        <f aca="true" t="shared" si="5" ref="C50:O50">C27+C35+C49</f>
        <v>604</v>
      </c>
      <c r="D50" s="326">
        <f t="shared" si="5"/>
        <v>1240</v>
      </c>
      <c r="E50" s="326">
        <f t="shared" si="5"/>
        <v>975</v>
      </c>
      <c r="F50" s="326">
        <f t="shared" si="5"/>
        <v>778</v>
      </c>
      <c r="G50" s="326">
        <f t="shared" si="5"/>
        <v>468</v>
      </c>
      <c r="H50" s="326">
        <f t="shared" si="5"/>
        <v>42</v>
      </c>
      <c r="I50" s="197">
        <f t="shared" si="5"/>
        <v>223</v>
      </c>
      <c r="J50" s="326">
        <f t="shared" si="5"/>
        <v>19356</v>
      </c>
      <c r="K50" s="326">
        <f t="shared" si="5"/>
        <v>6286</v>
      </c>
      <c r="L50" s="326">
        <f t="shared" si="5"/>
        <v>9251</v>
      </c>
      <c r="M50" s="326">
        <f t="shared" si="5"/>
        <v>2587</v>
      </c>
      <c r="N50" s="326">
        <f t="shared" si="5"/>
        <v>2378</v>
      </c>
      <c r="O50" s="326">
        <f t="shared" si="5"/>
        <v>530</v>
      </c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</row>
    <row r="51" spans="1:34" ht="12.75">
      <c r="A51" s="115"/>
      <c r="B51" s="120"/>
      <c r="C51" s="277"/>
      <c r="D51" s="277"/>
      <c r="E51" s="277"/>
      <c r="F51" s="277"/>
      <c r="G51" s="277"/>
      <c r="H51" s="277"/>
      <c r="I51" s="250"/>
      <c r="J51" s="277"/>
      <c r="K51" s="277"/>
      <c r="L51" s="148"/>
      <c r="M51" s="148"/>
      <c r="N51" s="148"/>
      <c r="O51" s="148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</row>
    <row r="52" spans="1:34" ht="12.75">
      <c r="A52" s="115"/>
      <c r="B52" s="120"/>
      <c r="C52" s="277"/>
      <c r="D52" s="277"/>
      <c r="E52" s="277"/>
      <c r="F52" s="277"/>
      <c r="G52" s="277"/>
      <c r="H52" s="277"/>
      <c r="I52" s="250"/>
      <c r="J52" s="277"/>
      <c r="K52" s="277"/>
      <c r="L52" s="148"/>
      <c r="M52" s="148"/>
      <c r="N52" s="148"/>
      <c r="O52" s="14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</row>
    <row r="53" spans="1:34" ht="12.75">
      <c r="A53" s="115"/>
      <c r="B53" s="120"/>
      <c r="C53" s="277"/>
      <c r="D53" s="148"/>
      <c r="E53" s="148"/>
      <c r="F53" s="148"/>
      <c r="G53" s="148"/>
      <c r="H53" s="148"/>
      <c r="I53" s="191"/>
      <c r="J53" s="148"/>
      <c r="K53" s="148"/>
      <c r="L53" s="148"/>
      <c r="M53" s="148"/>
      <c r="N53" s="148"/>
      <c r="O53" s="14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</row>
    <row r="54" spans="1:34" ht="12.75">
      <c r="A54" s="175" t="s">
        <v>122</v>
      </c>
      <c r="B54" s="120" t="s">
        <v>5</v>
      </c>
      <c r="C54" s="359" t="s">
        <v>75</v>
      </c>
      <c r="D54" s="277" t="s">
        <v>247</v>
      </c>
      <c r="E54" s="277"/>
      <c r="F54" s="277"/>
      <c r="G54" s="277"/>
      <c r="H54" s="277"/>
      <c r="I54" s="250"/>
      <c r="J54" s="277" t="s">
        <v>108</v>
      </c>
      <c r="K54" s="277"/>
      <c r="L54" s="148"/>
      <c r="M54" s="148"/>
      <c r="N54" s="148"/>
      <c r="O54" s="148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</row>
    <row r="55" spans="1:34" ht="18" customHeight="1">
      <c r="A55" s="175" t="s">
        <v>122</v>
      </c>
      <c r="B55" s="488" t="s">
        <v>5</v>
      </c>
      <c r="C55" s="282" t="s">
        <v>75</v>
      </c>
      <c r="D55" s="340" t="s">
        <v>436</v>
      </c>
      <c r="E55" s="341"/>
      <c r="F55" s="341"/>
      <c r="G55" s="341"/>
      <c r="H55" s="341"/>
      <c r="I55" s="254"/>
      <c r="J55" s="353" t="s">
        <v>108</v>
      </c>
      <c r="K55" s="354"/>
      <c r="L55" s="355"/>
      <c r="M55" s="355"/>
      <c r="N55" s="355"/>
      <c r="O55" s="33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</row>
    <row r="56" spans="1:34" ht="12.75">
      <c r="A56" s="175" t="s">
        <v>6</v>
      </c>
      <c r="B56" s="570"/>
      <c r="C56" s="571"/>
      <c r="D56" s="572" t="s">
        <v>79</v>
      </c>
      <c r="E56" s="568" t="s">
        <v>197</v>
      </c>
      <c r="F56" s="568" t="s">
        <v>109</v>
      </c>
      <c r="G56" s="569"/>
      <c r="H56" s="569" t="s">
        <v>79</v>
      </c>
      <c r="I56" s="257" t="s">
        <v>79</v>
      </c>
      <c r="J56" s="356" t="s">
        <v>85</v>
      </c>
      <c r="K56" s="573"/>
      <c r="L56" s="636" t="s">
        <v>246</v>
      </c>
      <c r="M56" s="637"/>
      <c r="N56" s="636" t="s">
        <v>193</v>
      </c>
      <c r="O56" s="637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</row>
    <row r="57" spans="1:34" ht="12.75">
      <c r="A57" s="115"/>
      <c r="B57" s="489"/>
      <c r="C57" s="357"/>
      <c r="D57" s="357" t="s">
        <v>80</v>
      </c>
      <c r="E57" s="358" t="s">
        <v>76</v>
      </c>
      <c r="F57" s="358" t="s">
        <v>76</v>
      </c>
      <c r="G57" s="358" t="s">
        <v>63</v>
      </c>
      <c r="H57" s="574" t="s">
        <v>81</v>
      </c>
      <c r="I57" s="268" t="s">
        <v>90</v>
      </c>
      <c r="J57" s="575" t="s">
        <v>110</v>
      </c>
      <c r="K57" s="574"/>
      <c r="L57" s="618"/>
      <c r="M57" s="619"/>
      <c r="N57" s="618" t="s">
        <v>144</v>
      </c>
      <c r="O57" s="6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</row>
    <row r="58" spans="1:34" ht="12.75">
      <c r="A58" s="175"/>
      <c r="B58" s="490"/>
      <c r="C58" s="279"/>
      <c r="D58" s="279"/>
      <c r="E58" s="576"/>
      <c r="F58" s="576"/>
      <c r="G58" s="577" t="s">
        <v>36</v>
      </c>
      <c r="H58" s="577" t="s">
        <v>82</v>
      </c>
      <c r="I58" s="256" t="s">
        <v>92</v>
      </c>
      <c r="J58" s="358" t="s">
        <v>76</v>
      </c>
      <c r="K58" s="358" t="s">
        <v>63</v>
      </c>
      <c r="L58" s="358" t="s">
        <v>76</v>
      </c>
      <c r="M58" s="358" t="s">
        <v>63</v>
      </c>
      <c r="N58" s="358" t="s">
        <v>76</v>
      </c>
      <c r="O58" s="358" t="s">
        <v>63</v>
      </c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</row>
    <row r="59" spans="1:34" ht="15.75" customHeight="1">
      <c r="A59" s="115">
        <v>40</v>
      </c>
      <c r="B59" s="116" t="s">
        <v>78</v>
      </c>
      <c r="C59" s="116">
        <v>0</v>
      </c>
      <c r="D59" s="116">
        <v>10</v>
      </c>
      <c r="E59" s="116">
        <v>10</v>
      </c>
      <c r="F59" s="116">
        <v>10</v>
      </c>
      <c r="G59" s="116">
        <v>3</v>
      </c>
      <c r="H59" s="116">
        <v>0</v>
      </c>
      <c r="I59" s="190">
        <f aca="true" t="shared" si="6" ref="I59:I66">D59-E59-H59</f>
        <v>0</v>
      </c>
      <c r="J59" s="116">
        <v>377</v>
      </c>
      <c r="K59" s="116">
        <v>75</v>
      </c>
      <c r="L59" s="116">
        <v>370</v>
      </c>
      <c r="M59" s="116">
        <v>72</v>
      </c>
      <c r="N59" s="116">
        <v>0</v>
      </c>
      <c r="O59" s="116">
        <v>0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</row>
    <row r="60" spans="1:34" ht="15.75" customHeight="1">
      <c r="A60" s="115">
        <v>41</v>
      </c>
      <c r="B60" s="116" t="s">
        <v>278</v>
      </c>
      <c r="C60" s="116">
        <v>218</v>
      </c>
      <c r="D60" s="116">
        <v>138</v>
      </c>
      <c r="E60" s="116">
        <v>78</v>
      </c>
      <c r="F60" s="116">
        <v>78</v>
      </c>
      <c r="G60" s="116">
        <v>38</v>
      </c>
      <c r="H60" s="116">
        <v>32</v>
      </c>
      <c r="I60" s="190">
        <f t="shared" si="6"/>
        <v>28</v>
      </c>
      <c r="J60" s="116">
        <v>478</v>
      </c>
      <c r="K60" s="116">
        <v>312</v>
      </c>
      <c r="L60" s="116">
        <v>896</v>
      </c>
      <c r="M60" s="116">
        <v>286</v>
      </c>
      <c r="N60" s="116">
        <v>42</v>
      </c>
      <c r="O60" s="116">
        <v>24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</row>
    <row r="61" spans="1:34" ht="15.75" customHeight="1">
      <c r="A61" s="115">
        <v>42</v>
      </c>
      <c r="B61" s="116" t="s">
        <v>30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90">
        <f t="shared" si="6"/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</row>
    <row r="62" spans="1:34" ht="15.75" customHeight="1">
      <c r="A62" s="115">
        <v>43</v>
      </c>
      <c r="B62" s="116" t="s">
        <v>234</v>
      </c>
      <c r="C62" s="116">
        <v>0</v>
      </c>
      <c r="D62" s="116">
        <v>280</v>
      </c>
      <c r="E62" s="116">
        <v>127</v>
      </c>
      <c r="F62" s="116">
        <v>63</v>
      </c>
      <c r="G62" s="116">
        <v>23</v>
      </c>
      <c r="H62" s="116">
        <v>88</v>
      </c>
      <c r="I62" s="190">
        <f t="shared" si="6"/>
        <v>65</v>
      </c>
      <c r="J62" s="116">
        <v>1009</v>
      </c>
      <c r="K62" s="116">
        <v>179</v>
      </c>
      <c r="L62" s="116">
        <v>1009</v>
      </c>
      <c r="M62" s="116">
        <v>179</v>
      </c>
      <c r="N62" s="116">
        <v>280</v>
      </c>
      <c r="O62" s="116">
        <v>58</v>
      </c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</row>
    <row r="63" spans="1:34" ht="15.75" customHeight="1">
      <c r="A63" s="115">
        <v>44</v>
      </c>
      <c r="B63" s="116" t="s">
        <v>29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90">
        <f t="shared" si="6"/>
        <v>0</v>
      </c>
      <c r="J63" s="116">
        <v>410</v>
      </c>
      <c r="K63" s="116">
        <v>68</v>
      </c>
      <c r="L63" s="116">
        <v>410</v>
      </c>
      <c r="M63" s="116">
        <v>68</v>
      </c>
      <c r="N63" s="116">
        <v>126</v>
      </c>
      <c r="O63" s="116">
        <v>17</v>
      </c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1:34" ht="15.75" customHeight="1">
      <c r="A64" s="115">
        <v>45</v>
      </c>
      <c r="B64" s="116" t="s">
        <v>391</v>
      </c>
      <c r="C64" s="116">
        <v>0</v>
      </c>
      <c r="D64" s="116">
        <v>205</v>
      </c>
      <c r="E64" s="116">
        <v>163</v>
      </c>
      <c r="F64" s="116">
        <v>148</v>
      </c>
      <c r="G64" s="116">
        <v>54</v>
      </c>
      <c r="H64" s="116">
        <v>22</v>
      </c>
      <c r="I64" s="190">
        <v>16</v>
      </c>
      <c r="J64" s="116">
        <v>3624</v>
      </c>
      <c r="K64" s="116">
        <v>713</v>
      </c>
      <c r="L64" s="116">
        <v>2621</v>
      </c>
      <c r="M64" s="116">
        <v>348</v>
      </c>
      <c r="N64" s="116">
        <v>188</v>
      </c>
      <c r="O64" s="116">
        <v>45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spans="1:34" ht="15.75" customHeight="1">
      <c r="A65" s="115">
        <v>46</v>
      </c>
      <c r="B65" s="116" t="s">
        <v>25</v>
      </c>
      <c r="C65" s="116">
        <v>0</v>
      </c>
      <c r="D65" s="116">
        <v>14</v>
      </c>
      <c r="E65" s="116">
        <v>14</v>
      </c>
      <c r="F65" s="116">
        <v>14</v>
      </c>
      <c r="G65" s="116">
        <v>4</v>
      </c>
      <c r="H65" s="116">
        <v>0</v>
      </c>
      <c r="I65" s="190">
        <f t="shared" si="6"/>
        <v>0</v>
      </c>
      <c r="J65" s="116">
        <v>331</v>
      </c>
      <c r="K65" s="116">
        <v>46</v>
      </c>
      <c r="L65" s="116">
        <v>391</v>
      </c>
      <c r="M65" s="116">
        <v>46</v>
      </c>
      <c r="N65" s="116">
        <v>75</v>
      </c>
      <c r="O65" s="116">
        <v>6</v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</row>
    <row r="66" spans="1:34" ht="15.75" customHeight="1">
      <c r="A66" s="115">
        <v>47</v>
      </c>
      <c r="B66" s="116" t="s">
        <v>28</v>
      </c>
      <c r="C66" s="116">
        <v>39</v>
      </c>
      <c r="D66" s="116">
        <v>39</v>
      </c>
      <c r="E66" s="116">
        <v>3</v>
      </c>
      <c r="F66" s="116">
        <v>3</v>
      </c>
      <c r="G66" s="116">
        <v>0</v>
      </c>
      <c r="H66" s="116">
        <v>0</v>
      </c>
      <c r="I66" s="190">
        <f t="shared" si="6"/>
        <v>36</v>
      </c>
      <c r="J66" s="116">
        <v>38</v>
      </c>
      <c r="K66" s="116">
        <v>10</v>
      </c>
      <c r="L66" s="116">
        <v>38</v>
      </c>
      <c r="M66" s="116">
        <v>10</v>
      </c>
      <c r="N66" s="116">
        <v>9</v>
      </c>
      <c r="O66" s="116">
        <v>2</v>
      </c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</row>
    <row r="67" spans="1:34" s="334" customFormat="1" ht="15.75" customHeight="1">
      <c r="A67" s="115"/>
      <c r="B67" s="581" t="s">
        <v>123</v>
      </c>
      <c r="C67" s="326">
        <f aca="true" t="shared" si="7" ref="C67:H67">SUM(C59:C66)</f>
        <v>257</v>
      </c>
      <c r="D67" s="326">
        <f t="shared" si="7"/>
        <v>686</v>
      </c>
      <c r="E67" s="326">
        <f t="shared" si="7"/>
        <v>395</v>
      </c>
      <c r="F67" s="326">
        <f t="shared" si="7"/>
        <v>316</v>
      </c>
      <c r="G67" s="326">
        <f t="shared" si="7"/>
        <v>122</v>
      </c>
      <c r="H67" s="326">
        <f t="shared" si="7"/>
        <v>142</v>
      </c>
      <c r="I67" s="197">
        <f>D67-E67-H67</f>
        <v>149</v>
      </c>
      <c r="J67" s="326">
        <f aca="true" t="shared" si="8" ref="J67:O67">SUM(J59:J66)</f>
        <v>6267</v>
      </c>
      <c r="K67" s="326">
        <f t="shared" si="8"/>
        <v>1403</v>
      </c>
      <c r="L67" s="326">
        <f t="shared" si="8"/>
        <v>5735</v>
      </c>
      <c r="M67" s="326">
        <f t="shared" si="8"/>
        <v>1009</v>
      </c>
      <c r="N67" s="326">
        <f t="shared" si="8"/>
        <v>720</v>
      </c>
      <c r="O67" s="326">
        <f t="shared" si="8"/>
        <v>152</v>
      </c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</row>
    <row r="68" spans="1:34" ht="15.75" customHeight="1">
      <c r="A68" s="115"/>
      <c r="B68" s="339"/>
      <c r="C68" s="116"/>
      <c r="D68" s="116"/>
      <c r="E68" s="116"/>
      <c r="F68" s="116"/>
      <c r="G68" s="116"/>
      <c r="H68" s="116"/>
      <c r="I68" s="190"/>
      <c r="J68" s="116"/>
      <c r="K68" s="116"/>
      <c r="L68" s="116"/>
      <c r="M68" s="116"/>
      <c r="N68" s="116"/>
      <c r="O68" s="116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  <row r="69" spans="1:34" ht="15.75" customHeight="1">
      <c r="A69" s="115">
        <v>48</v>
      </c>
      <c r="B69" s="339" t="s">
        <v>34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90">
        <f>D69-E69-H69</f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1:34" ht="15.75" customHeight="1">
      <c r="A70" s="115">
        <v>49</v>
      </c>
      <c r="B70" s="339" t="s">
        <v>130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90">
        <f>D70-E70-H70</f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</row>
    <row r="71" spans="1:34" s="334" customFormat="1" ht="15.75" customHeight="1">
      <c r="A71" s="325"/>
      <c r="B71" s="581" t="s">
        <v>123</v>
      </c>
      <c r="C71" s="326">
        <f aca="true" t="shared" si="9" ref="C71:K71">SUM(C69:C70)</f>
        <v>0</v>
      </c>
      <c r="D71" s="326">
        <f t="shared" si="9"/>
        <v>0</v>
      </c>
      <c r="E71" s="326">
        <f t="shared" si="9"/>
        <v>0</v>
      </c>
      <c r="F71" s="326">
        <f t="shared" si="9"/>
        <v>0</v>
      </c>
      <c r="G71" s="326">
        <f t="shared" si="9"/>
        <v>0</v>
      </c>
      <c r="H71" s="326">
        <f t="shared" si="9"/>
        <v>0</v>
      </c>
      <c r="I71" s="198">
        <f>D71-E71-H71</f>
        <v>0</v>
      </c>
      <c r="J71" s="326">
        <f t="shared" si="9"/>
        <v>0</v>
      </c>
      <c r="K71" s="326">
        <f t="shared" si="9"/>
        <v>0</v>
      </c>
      <c r="L71" s="326">
        <f>SUM(L69:L70)</f>
        <v>0</v>
      </c>
      <c r="M71" s="326">
        <f>SUM(M69:M70)</f>
        <v>0</v>
      </c>
      <c r="N71" s="326">
        <f>SUM(N69:N70)</f>
        <v>0</v>
      </c>
      <c r="O71" s="326">
        <f>SUM(O69:O70)</f>
        <v>0</v>
      </c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</row>
    <row r="72" spans="1:34" s="334" customFormat="1" ht="15.75" customHeight="1">
      <c r="A72" s="325"/>
      <c r="B72" s="581" t="s">
        <v>35</v>
      </c>
      <c r="C72" s="326">
        <f aca="true" t="shared" si="10" ref="C72:K72">+C50+C67+C71</f>
        <v>861</v>
      </c>
      <c r="D72" s="326">
        <f t="shared" si="10"/>
        <v>1926</v>
      </c>
      <c r="E72" s="326">
        <f t="shared" si="10"/>
        <v>1370</v>
      </c>
      <c r="F72" s="326">
        <f t="shared" si="10"/>
        <v>1094</v>
      </c>
      <c r="G72" s="326">
        <f t="shared" si="10"/>
        <v>590</v>
      </c>
      <c r="H72" s="326">
        <f t="shared" si="10"/>
        <v>184</v>
      </c>
      <c r="I72" s="197">
        <f t="shared" si="10"/>
        <v>372</v>
      </c>
      <c r="J72" s="326">
        <f t="shared" si="10"/>
        <v>25623</v>
      </c>
      <c r="K72" s="326">
        <f t="shared" si="10"/>
        <v>7689</v>
      </c>
      <c r="L72" s="326">
        <f>+L50+L71</f>
        <v>9251</v>
      </c>
      <c r="M72" s="326">
        <f>+M50+M71</f>
        <v>2587</v>
      </c>
      <c r="N72" s="326">
        <f>+N50+N71</f>
        <v>2378</v>
      </c>
      <c r="O72" s="326">
        <f>+O50+O71</f>
        <v>530</v>
      </c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</row>
    <row r="73" spans="1:34" ht="12.75">
      <c r="A73" s="115"/>
      <c r="B73" s="148"/>
      <c r="C73" s="148"/>
      <c r="D73" s="148"/>
      <c r="E73" s="148"/>
      <c r="F73" s="148"/>
      <c r="G73" s="148"/>
      <c r="H73" s="148"/>
      <c r="I73" s="191"/>
      <c r="J73" s="148"/>
      <c r="K73" s="148"/>
      <c r="L73" s="148"/>
      <c r="M73" s="148"/>
      <c r="N73" s="148"/>
      <c r="O73" s="148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</row>
    <row r="74" spans="1:34" ht="12.75">
      <c r="A74" s="115"/>
      <c r="B74" s="119"/>
      <c r="C74" s="148"/>
      <c r="D74" s="148"/>
      <c r="E74" s="148"/>
      <c r="F74" s="148"/>
      <c r="G74" s="148"/>
      <c r="H74" s="148"/>
      <c r="I74" s="191" t="s">
        <v>36</v>
      </c>
      <c r="J74" s="148"/>
      <c r="K74" s="148"/>
      <c r="L74" s="148"/>
      <c r="M74" s="148"/>
      <c r="N74" s="148"/>
      <c r="O74" s="148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</row>
    <row r="75" spans="1:34" ht="12.75">
      <c r="A75" s="115"/>
      <c r="B75" s="277" t="s">
        <v>227</v>
      </c>
      <c r="C75" s="277"/>
      <c r="D75" s="148"/>
      <c r="E75" s="148"/>
      <c r="F75" s="148"/>
      <c r="G75" s="148"/>
      <c r="H75" s="148"/>
      <c r="I75" s="191"/>
      <c r="J75" s="148"/>
      <c r="K75" s="148"/>
      <c r="L75" s="148"/>
      <c r="M75" s="148"/>
      <c r="N75" s="148"/>
      <c r="O75" s="148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</row>
    <row r="80" spans="3:4" ht="12.75">
      <c r="C80" s="127">
        <v>10</v>
      </c>
      <c r="D80" s="127" t="s">
        <v>406</v>
      </c>
    </row>
  </sheetData>
  <sheetProtection/>
  <mergeCells count="8">
    <mergeCell ref="L57:M57"/>
    <mergeCell ref="N57:O57"/>
    <mergeCell ref="L56:M56"/>
    <mergeCell ref="L5:M5"/>
    <mergeCell ref="L6:M6"/>
    <mergeCell ref="N5:O5"/>
    <mergeCell ref="N6:O6"/>
    <mergeCell ref="N56:O56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3" r:id="rId2"/>
  <rowBreaks count="1" manualBreakCount="1">
    <brk id="5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3"/>
  <sheetViews>
    <sheetView zoomScale="110" zoomScaleNormal="110" zoomScalePageLayoutView="0" workbookViewId="0" topLeftCell="A45">
      <selection activeCell="M68" sqref="M68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99" customWidth="1"/>
    <col min="12" max="12" width="10.7109375" style="99" customWidth="1"/>
    <col min="13" max="13" width="9.7109375" style="22" customWidth="1"/>
    <col min="14" max="14" width="10.7109375" style="22" customWidth="1"/>
    <col min="15" max="15" width="9.7109375" style="22" customWidth="1"/>
    <col min="16" max="16" width="10.7109375" style="22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0"/>
      <c r="B1" s="1"/>
      <c r="C1" s="3"/>
      <c r="D1" s="3"/>
      <c r="E1" s="3"/>
      <c r="F1" s="3"/>
      <c r="G1" s="3"/>
      <c r="H1" s="3"/>
      <c r="I1" s="3"/>
      <c r="J1" s="3"/>
      <c r="K1" s="259"/>
      <c r="L1" s="259"/>
      <c r="M1" s="21"/>
      <c r="N1" s="21"/>
      <c r="O1" s="21"/>
      <c r="P1" s="21"/>
      <c r="Q1" s="3"/>
      <c r="R1" s="3"/>
      <c r="S1" s="1"/>
      <c r="T1" s="9"/>
      <c r="U1" s="1"/>
    </row>
    <row r="2" spans="1:16" ht="15">
      <c r="A2" s="2"/>
      <c r="B2" s="10"/>
      <c r="C2" s="15"/>
      <c r="O2" s="21"/>
      <c r="P2" s="21"/>
    </row>
    <row r="3" spans="16:22" ht="15">
      <c r="P3" s="21"/>
      <c r="Q3" s="8"/>
      <c r="R3" s="8"/>
      <c r="T3" s="8"/>
      <c r="U3" s="2"/>
      <c r="V3" s="2"/>
    </row>
    <row r="4" spans="1:22" ht="12.75">
      <c r="A4" s="25" t="s">
        <v>4</v>
      </c>
      <c r="B4" s="25" t="s">
        <v>5</v>
      </c>
      <c r="C4" s="620" t="s">
        <v>152</v>
      </c>
      <c r="D4" s="605"/>
      <c r="E4" s="620" t="s">
        <v>151</v>
      </c>
      <c r="F4" s="605"/>
      <c r="G4" s="620" t="s">
        <v>153</v>
      </c>
      <c r="H4" s="605"/>
      <c r="I4" s="606" t="s">
        <v>154</v>
      </c>
      <c r="J4" s="607"/>
      <c r="K4" s="608" t="s">
        <v>155</v>
      </c>
      <c r="L4" s="609"/>
      <c r="M4" s="624" t="s">
        <v>94</v>
      </c>
      <c r="N4" s="625"/>
      <c r="O4" s="624" t="s">
        <v>156</v>
      </c>
      <c r="P4" s="625"/>
      <c r="Q4" s="13"/>
      <c r="R4" s="13"/>
      <c r="S4" s="12"/>
      <c r="T4" s="8"/>
      <c r="U4" s="12"/>
      <c r="V4" s="12"/>
    </row>
    <row r="5" spans="1:22" ht="12.75">
      <c r="A5" s="26"/>
      <c r="B5" s="26"/>
      <c r="C5" s="80" t="s">
        <v>57</v>
      </c>
      <c r="D5" s="80" t="s">
        <v>63</v>
      </c>
      <c r="E5" s="80" t="s">
        <v>57</v>
      </c>
      <c r="F5" s="80" t="s">
        <v>63</v>
      </c>
      <c r="G5" s="80" t="s">
        <v>57</v>
      </c>
      <c r="H5" s="80" t="s">
        <v>63</v>
      </c>
      <c r="I5" s="80" t="s">
        <v>57</v>
      </c>
      <c r="J5" s="80" t="s">
        <v>63</v>
      </c>
      <c r="K5" s="269" t="s">
        <v>57</v>
      </c>
      <c r="L5" s="269" t="s">
        <v>63</v>
      </c>
      <c r="M5" s="178" t="s">
        <v>57</v>
      </c>
      <c r="N5" s="178" t="s">
        <v>63</v>
      </c>
      <c r="O5" s="178" t="s">
        <v>57</v>
      </c>
      <c r="P5" s="178" t="s">
        <v>63</v>
      </c>
      <c r="Q5" s="14"/>
      <c r="R5" s="14"/>
      <c r="S5" s="11"/>
      <c r="T5" s="260"/>
      <c r="U5" s="2"/>
      <c r="V5" s="2"/>
    </row>
    <row r="6" spans="1:22" s="103" customFormat="1" ht="12.75">
      <c r="A6" s="54">
        <v>1</v>
      </c>
      <c r="B6" s="57" t="s">
        <v>7</v>
      </c>
      <c r="C6" s="57">
        <v>715</v>
      </c>
      <c r="D6" s="57">
        <v>251</v>
      </c>
      <c r="E6" s="57">
        <v>657</v>
      </c>
      <c r="F6" s="57">
        <v>221</v>
      </c>
      <c r="G6" s="57">
        <v>567</v>
      </c>
      <c r="H6" s="57">
        <v>178</v>
      </c>
      <c r="I6" s="57">
        <v>58</v>
      </c>
      <c r="J6" s="57">
        <v>30</v>
      </c>
      <c r="K6" s="190">
        <f aca="true" t="shared" si="0" ref="K6:K24">C6-E6-I6</f>
        <v>0</v>
      </c>
      <c r="L6" s="190">
        <f aca="true" t="shared" si="1" ref="L6:L24">D6-F6-J6</f>
        <v>0</v>
      </c>
      <c r="M6" s="57">
        <v>20744</v>
      </c>
      <c r="N6" s="57">
        <v>11519</v>
      </c>
      <c r="O6" s="57">
        <v>6251</v>
      </c>
      <c r="P6" s="57">
        <v>2112</v>
      </c>
      <c r="Q6" s="19">
        <v>0</v>
      </c>
      <c r="R6" s="19"/>
      <c r="S6" s="104"/>
      <c r="T6" s="260"/>
      <c r="U6" s="105"/>
      <c r="V6" s="105"/>
    </row>
    <row r="7" spans="1:21" s="103" customFormat="1" ht="12.75">
      <c r="A7" s="54">
        <v>2</v>
      </c>
      <c r="B7" s="57" t="s">
        <v>8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190">
        <f t="shared" si="0"/>
        <v>0</v>
      </c>
      <c r="L7" s="190">
        <f t="shared" si="1"/>
        <v>0</v>
      </c>
      <c r="M7" s="57">
        <v>161</v>
      </c>
      <c r="N7" s="57">
        <v>95</v>
      </c>
      <c r="O7" s="57">
        <v>0</v>
      </c>
      <c r="P7" s="57">
        <v>0</v>
      </c>
      <c r="Q7" s="19">
        <v>0</v>
      </c>
      <c r="R7" s="19"/>
      <c r="S7" s="106"/>
      <c r="T7" s="107"/>
      <c r="U7" s="108"/>
    </row>
    <row r="8" spans="1:22" s="103" customFormat="1" ht="12.75">
      <c r="A8" s="54">
        <v>3</v>
      </c>
      <c r="B8" s="57" t="s">
        <v>9</v>
      </c>
      <c r="C8" s="57">
        <v>342</v>
      </c>
      <c r="D8" s="57">
        <v>238</v>
      </c>
      <c r="E8" s="57">
        <v>316</v>
      </c>
      <c r="F8" s="57">
        <v>222</v>
      </c>
      <c r="G8" s="57">
        <v>316</v>
      </c>
      <c r="H8" s="57">
        <v>222</v>
      </c>
      <c r="I8" s="57">
        <v>26</v>
      </c>
      <c r="J8" s="57">
        <v>16</v>
      </c>
      <c r="K8" s="190">
        <f t="shared" si="0"/>
        <v>0</v>
      </c>
      <c r="L8" s="190">
        <f t="shared" si="1"/>
        <v>0</v>
      </c>
      <c r="M8" s="57">
        <v>6883</v>
      </c>
      <c r="N8" s="57">
        <v>4776</v>
      </c>
      <c r="O8" s="57">
        <v>1277</v>
      </c>
      <c r="P8" s="57">
        <v>556</v>
      </c>
      <c r="Q8" s="19">
        <v>0</v>
      </c>
      <c r="R8" s="19"/>
      <c r="S8" s="19"/>
      <c r="T8" s="19"/>
      <c r="V8" s="19"/>
    </row>
    <row r="9" spans="1:22" ht="12.75">
      <c r="A9" s="50">
        <v>4</v>
      </c>
      <c r="B9" s="51" t="s">
        <v>10</v>
      </c>
      <c r="C9" s="51">
        <v>516</v>
      </c>
      <c r="D9" s="51">
        <v>713</v>
      </c>
      <c r="E9" s="51">
        <v>509</v>
      </c>
      <c r="F9" s="51">
        <v>702</v>
      </c>
      <c r="G9" s="51">
        <v>504</v>
      </c>
      <c r="H9" s="51">
        <v>647</v>
      </c>
      <c r="I9" s="51">
        <v>0</v>
      </c>
      <c r="J9" s="51">
        <v>0</v>
      </c>
      <c r="K9" s="190">
        <f t="shared" si="0"/>
        <v>7</v>
      </c>
      <c r="L9" s="190">
        <f t="shared" si="1"/>
        <v>11</v>
      </c>
      <c r="M9" s="57">
        <v>21916</v>
      </c>
      <c r="N9" s="57">
        <v>15966</v>
      </c>
      <c r="O9" s="57">
        <v>6737</v>
      </c>
      <c r="P9" s="57">
        <v>3604</v>
      </c>
      <c r="Q9" s="7">
        <v>0</v>
      </c>
      <c r="R9" s="7"/>
      <c r="S9" s="7"/>
      <c r="V9" s="7"/>
    </row>
    <row r="10" spans="1:22" ht="12.75">
      <c r="A10" s="50">
        <v>5</v>
      </c>
      <c r="B10" s="51" t="s">
        <v>11</v>
      </c>
      <c r="C10" s="51">
        <v>492</v>
      </c>
      <c r="D10" s="51">
        <v>430</v>
      </c>
      <c r="E10" s="51">
        <v>492</v>
      </c>
      <c r="F10" s="51">
        <v>430</v>
      </c>
      <c r="G10" s="51">
        <v>492</v>
      </c>
      <c r="H10" s="51">
        <v>430</v>
      </c>
      <c r="I10" s="51">
        <v>0</v>
      </c>
      <c r="J10" s="51">
        <v>0</v>
      </c>
      <c r="K10" s="190">
        <f t="shared" si="0"/>
        <v>0</v>
      </c>
      <c r="L10" s="190">
        <f t="shared" si="1"/>
        <v>0</v>
      </c>
      <c r="M10" s="57">
        <v>6825</v>
      </c>
      <c r="N10" s="57">
        <v>5033</v>
      </c>
      <c r="O10" s="57">
        <v>1030</v>
      </c>
      <c r="P10" s="57">
        <v>776</v>
      </c>
      <c r="Q10" s="7">
        <v>0</v>
      </c>
      <c r="R10" s="7"/>
      <c r="S10" s="7"/>
      <c r="V10" s="7"/>
    </row>
    <row r="11" spans="1:22" ht="12.75">
      <c r="A11" s="50">
        <v>6</v>
      </c>
      <c r="B11" s="51" t="s">
        <v>12</v>
      </c>
      <c r="C11" s="51">
        <v>347</v>
      </c>
      <c r="D11" s="51">
        <v>156</v>
      </c>
      <c r="E11" s="51">
        <v>347</v>
      </c>
      <c r="F11" s="51">
        <v>156</v>
      </c>
      <c r="G11" s="51">
        <v>347</v>
      </c>
      <c r="H11" s="51">
        <v>156</v>
      </c>
      <c r="I11" s="51">
        <v>0</v>
      </c>
      <c r="J11" s="51">
        <v>0</v>
      </c>
      <c r="K11" s="190">
        <f t="shared" si="0"/>
        <v>0</v>
      </c>
      <c r="L11" s="190">
        <f t="shared" si="1"/>
        <v>0</v>
      </c>
      <c r="M11" s="57">
        <v>4348</v>
      </c>
      <c r="N11" s="57">
        <v>3284</v>
      </c>
      <c r="O11" s="57">
        <v>0</v>
      </c>
      <c r="P11" s="57">
        <v>90</v>
      </c>
      <c r="Q11" s="7"/>
      <c r="R11" s="7"/>
      <c r="S11" s="7"/>
      <c r="V11" s="7"/>
    </row>
    <row r="12" spans="1:22" s="103" customFormat="1" ht="12.75">
      <c r="A12" s="54">
        <v>7</v>
      </c>
      <c r="B12" s="57" t="s">
        <v>13</v>
      </c>
      <c r="C12" s="57">
        <v>1872</v>
      </c>
      <c r="D12" s="57">
        <v>904</v>
      </c>
      <c r="E12" s="57">
        <v>1834</v>
      </c>
      <c r="F12" s="57">
        <v>887</v>
      </c>
      <c r="G12" s="57">
        <v>1615</v>
      </c>
      <c r="H12" s="57">
        <v>726</v>
      </c>
      <c r="I12" s="57">
        <v>0</v>
      </c>
      <c r="J12" s="57">
        <v>0</v>
      </c>
      <c r="K12" s="190">
        <f t="shared" si="0"/>
        <v>38</v>
      </c>
      <c r="L12" s="190">
        <f t="shared" si="1"/>
        <v>17</v>
      </c>
      <c r="M12" s="57">
        <v>34888</v>
      </c>
      <c r="N12" s="57">
        <v>14491</v>
      </c>
      <c r="O12" s="57">
        <v>8637</v>
      </c>
      <c r="P12" s="57">
        <v>4796</v>
      </c>
      <c r="Q12" s="19"/>
      <c r="R12" s="19"/>
      <c r="S12" s="19"/>
      <c r="T12" s="19"/>
      <c r="V12" s="19"/>
    </row>
    <row r="13" spans="1:22" s="103" customFormat="1" ht="12.75">
      <c r="A13" s="54">
        <v>8</v>
      </c>
      <c r="B13" s="57" t="s">
        <v>162</v>
      </c>
      <c r="C13" s="57">
        <v>74</v>
      </c>
      <c r="D13" s="57">
        <v>59</v>
      </c>
      <c r="E13" s="57">
        <v>74</v>
      </c>
      <c r="F13" s="57">
        <v>59</v>
      </c>
      <c r="G13" s="57">
        <v>74</v>
      </c>
      <c r="H13" s="57">
        <v>59</v>
      </c>
      <c r="I13" s="57">
        <v>0</v>
      </c>
      <c r="J13" s="57">
        <v>0</v>
      </c>
      <c r="K13" s="190">
        <f t="shared" si="0"/>
        <v>0</v>
      </c>
      <c r="L13" s="190">
        <f t="shared" si="1"/>
        <v>0</v>
      </c>
      <c r="M13" s="57">
        <v>447</v>
      </c>
      <c r="N13" s="57">
        <v>274</v>
      </c>
      <c r="O13" s="57">
        <v>0</v>
      </c>
      <c r="P13" s="57">
        <v>0</v>
      </c>
      <c r="Q13" s="19"/>
      <c r="R13" s="19"/>
      <c r="S13" s="19"/>
      <c r="T13" s="19"/>
      <c r="V13" s="19"/>
    </row>
    <row r="14" spans="1:22" ht="12.75">
      <c r="A14" s="50">
        <v>9</v>
      </c>
      <c r="B14" s="51" t="s">
        <v>14</v>
      </c>
      <c r="C14" s="51">
        <v>253</v>
      </c>
      <c r="D14" s="51">
        <v>179</v>
      </c>
      <c r="E14" s="51">
        <v>231</v>
      </c>
      <c r="F14" s="51">
        <v>168</v>
      </c>
      <c r="G14" s="51">
        <v>223</v>
      </c>
      <c r="H14" s="51">
        <v>166</v>
      </c>
      <c r="I14" s="51">
        <v>10</v>
      </c>
      <c r="J14" s="51">
        <v>5</v>
      </c>
      <c r="K14" s="190">
        <f t="shared" si="0"/>
        <v>12</v>
      </c>
      <c r="L14" s="190">
        <f t="shared" si="1"/>
        <v>6</v>
      </c>
      <c r="M14" s="57">
        <v>1633</v>
      </c>
      <c r="N14" s="57">
        <v>773</v>
      </c>
      <c r="O14" s="57">
        <v>834</v>
      </c>
      <c r="P14" s="57">
        <v>226</v>
      </c>
      <c r="Q14" s="7"/>
      <c r="R14" s="7"/>
      <c r="S14" s="7"/>
      <c r="V14" s="7"/>
    </row>
    <row r="15" spans="1:22" ht="12.75">
      <c r="A15" s="50">
        <v>10</v>
      </c>
      <c r="B15" s="51" t="s">
        <v>15</v>
      </c>
      <c r="C15" s="51">
        <v>80</v>
      </c>
      <c r="D15" s="51">
        <v>40</v>
      </c>
      <c r="E15" s="51">
        <v>80</v>
      </c>
      <c r="F15" s="51">
        <v>40</v>
      </c>
      <c r="G15" s="51">
        <v>58</v>
      </c>
      <c r="H15" s="51">
        <v>14</v>
      </c>
      <c r="I15" s="51">
        <v>0</v>
      </c>
      <c r="J15" s="51">
        <v>0</v>
      </c>
      <c r="K15" s="190">
        <f t="shared" si="0"/>
        <v>0</v>
      </c>
      <c r="L15" s="190">
        <f t="shared" si="1"/>
        <v>0</v>
      </c>
      <c r="M15" s="57">
        <v>385</v>
      </c>
      <c r="N15" s="57">
        <v>256</v>
      </c>
      <c r="O15" s="57">
        <v>82</v>
      </c>
      <c r="P15" s="57">
        <v>33</v>
      </c>
      <c r="Q15" s="7"/>
      <c r="R15" s="7"/>
      <c r="S15" s="7"/>
      <c r="V15" s="7"/>
    </row>
    <row r="16" spans="1:22" ht="12.75">
      <c r="A16" s="50">
        <v>11</v>
      </c>
      <c r="B16" s="51" t="s">
        <v>16</v>
      </c>
      <c r="C16" s="51">
        <v>122</v>
      </c>
      <c r="D16" s="51">
        <v>58</v>
      </c>
      <c r="E16" s="51">
        <v>112</v>
      </c>
      <c r="F16" s="51">
        <v>50</v>
      </c>
      <c r="G16" s="51">
        <v>112</v>
      </c>
      <c r="H16" s="51">
        <v>50</v>
      </c>
      <c r="I16" s="51">
        <v>10</v>
      </c>
      <c r="J16" s="51">
        <v>8</v>
      </c>
      <c r="K16" s="190">
        <f t="shared" si="0"/>
        <v>0</v>
      </c>
      <c r="L16" s="190">
        <f t="shared" si="1"/>
        <v>0</v>
      </c>
      <c r="M16" s="57">
        <v>1076</v>
      </c>
      <c r="N16" s="57">
        <v>771</v>
      </c>
      <c r="O16" s="57">
        <v>325</v>
      </c>
      <c r="P16" s="57">
        <v>62</v>
      </c>
      <c r="Q16" s="7">
        <v>0</v>
      </c>
      <c r="R16" s="7"/>
      <c r="S16" s="7"/>
      <c r="V16" s="7"/>
    </row>
    <row r="17" spans="1:22" ht="12.75">
      <c r="A17" s="50">
        <v>12</v>
      </c>
      <c r="B17" s="51" t="s">
        <v>17</v>
      </c>
      <c r="C17" s="51">
        <v>239</v>
      </c>
      <c r="D17" s="51">
        <v>247</v>
      </c>
      <c r="E17" s="51">
        <v>239</v>
      </c>
      <c r="F17" s="51">
        <v>247</v>
      </c>
      <c r="G17" s="51">
        <v>239</v>
      </c>
      <c r="H17" s="51">
        <v>247</v>
      </c>
      <c r="I17" s="51">
        <v>0</v>
      </c>
      <c r="J17" s="51">
        <v>0</v>
      </c>
      <c r="K17" s="190">
        <f t="shared" si="0"/>
        <v>0</v>
      </c>
      <c r="L17" s="190">
        <f t="shared" si="1"/>
        <v>0</v>
      </c>
      <c r="M17" s="57">
        <v>2016</v>
      </c>
      <c r="N17" s="57">
        <v>1234</v>
      </c>
      <c r="O17" s="57">
        <v>1288</v>
      </c>
      <c r="P17" s="57">
        <v>404</v>
      </c>
      <c r="Q17" s="7"/>
      <c r="R17" s="7"/>
      <c r="S17" s="7"/>
      <c r="V17" s="7"/>
    </row>
    <row r="18" spans="1:22" ht="12.75">
      <c r="A18" s="50">
        <v>13</v>
      </c>
      <c r="B18" s="51" t="s">
        <v>164</v>
      </c>
      <c r="C18" s="51">
        <v>173</v>
      </c>
      <c r="D18" s="51">
        <v>101</v>
      </c>
      <c r="E18" s="51">
        <v>170</v>
      </c>
      <c r="F18" s="51">
        <v>92</v>
      </c>
      <c r="G18" s="51">
        <v>170</v>
      </c>
      <c r="H18" s="51">
        <v>58</v>
      </c>
      <c r="I18" s="51">
        <v>3</v>
      </c>
      <c r="J18" s="51">
        <v>3</v>
      </c>
      <c r="K18" s="190">
        <f t="shared" si="0"/>
        <v>0</v>
      </c>
      <c r="L18" s="190">
        <f t="shared" si="1"/>
        <v>6</v>
      </c>
      <c r="M18" s="57">
        <v>1691</v>
      </c>
      <c r="N18" s="57">
        <v>712</v>
      </c>
      <c r="O18" s="57">
        <v>785</v>
      </c>
      <c r="P18" s="57">
        <v>93</v>
      </c>
      <c r="Q18" s="7"/>
      <c r="R18" s="7"/>
      <c r="S18" s="7"/>
      <c r="V18" s="7"/>
    </row>
    <row r="19" spans="1:22" ht="12.75">
      <c r="A19" s="50">
        <v>14</v>
      </c>
      <c r="B19" s="51" t="s">
        <v>77</v>
      </c>
      <c r="C19" s="51">
        <v>224</v>
      </c>
      <c r="D19" s="51">
        <v>815</v>
      </c>
      <c r="E19" s="51">
        <v>224</v>
      </c>
      <c r="F19" s="51">
        <v>815</v>
      </c>
      <c r="G19" s="51">
        <v>224</v>
      </c>
      <c r="H19" s="51">
        <v>781</v>
      </c>
      <c r="I19" s="51">
        <v>0</v>
      </c>
      <c r="J19" s="51">
        <v>0</v>
      </c>
      <c r="K19" s="190">
        <f t="shared" si="0"/>
        <v>0</v>
      </c>
      <c r="L19" s="190">
        <f t="shared" si="1"/>
        <v>0</v>
      </c>
      <c r="M19" s="57">
        <v>18922</v>
      </c>
      <c r="N19" s="57">
        <v>20356</v>
      </c>
      <c r="O19" s="57">
        <v>1925</v>
      </c>
      <c r="P19" s="57">
        <v>102</v>
      </c>
      <c r="Q19" s="7"/>
      <c r="R19" s="7"/>
      <c r="S19" s="7"/>
      <c r="V19" s="7"/>
    </row>
    <row r="20" spans="1:22" ht="12.75">
      <c r="A20" s="50">
        <v>15</v>
      </c>
      <c r="B20" s="51" t="s">
        <v>105</v>
      </c>
      <c r="C20" s="51">
        <v>122</v>
      </c>
      <c r="D20" s="51">
        <v>86</v>
      </c>
      <c r="E20" s="51">
        <v>122</v>
      </c>
      <c r="F20" s="51">
        <v>86</v>
      </c>
      <c r="G20" s="51">
        <v>122</v>
      </c>
      <c r="H20" s="51">
        <v>86</v>
      </c>
      <c r="I20" s="51">
        <v>0</v>
      </c>
      <c r="J20" s="51">
        <v>0</v>
      </c>
      <c r="K20" s="190">
        <f t="shared" si="0"/>
        <v>0</v>
      </c>
      <c r="L20" s="190">
        <f t="shared" si="1"/>
        <v>0</v>
      </c>
      <c r="M20" s="57">
        <v>1801</v>
      </c>
      <c r="N20" s="57">
        <v>1302</v>
      </c>
      <c r="O20" s="57">
        <v>1042</v>
      </c>
      <c r="P20" s="57">
        <v>516</v>
      </c>
      <c r="Q20" s="7">
        <v>0</v>
      </c>
      <c r="R20" s="7"/>
      <c r="S20" s="7"/>
      <c r="V20" s="7"/>
    </row>
    <row r="21" spans="1:22" s="103" customFormat="1" ht="12.75">
      <c r="A21" s="54">
        <v>16</v>
      </c>
      <c r="B21" s="57" t="s">
        <v>20</v>
      </c>
      <c r="C21" s="57">
        <v>192</v>
      </c>
      <c r="D21" s="57">
        <v>238</v>
      </c>
      <c r="E21" s="57">
        <v>192</v>
      </c>
      <c r="F21" s="57">
        <v>238</v>
      </c>
      <c r="G21" s="57">
        <v>192</v>
      </c>
      <c r="H21" s="57">
        <v>238</v>
      </c>
      <c r="I21" s="57">
        <v>0</v>
      </c>
      <c r="J21" s="57">
        <v>0</v>
      </c>
      <c r="K21" s="190">
        <f t="shared" si="0"/>
        <v>0</v>
      </c>
      <c r="L21" s="190">
        <f t="shared" si="1"/>
        <v>0</v>
      </c>
      <c r="M21" s="57">
        <v>6486</v>
      </c>
      <c r="N21" s="57">
        <v>5872</v>
      </c>
      <c r="O21" s="57">
        <v>1125</v>
      </c>
      <c r="P21" s="57">
        <v>2395</v>
      </c>
      <c r="Q21" s="19">
        <v>0</v>
      </c>
      <c r="R21" s="19"/>
      <c r="S21" s="19"/>
      <c r="T21" s="19"/>
      <c r="V21" s="19"/>
    </row>
    <row r="22" spans="1:22" ht="12.75">
      <c r="A22" s="50">
        <v>17</v>
      </c>
      <c r="B22" s="51" t="s">
        <v>21</v>
      </c>
      <c r="C22" s="51">
        <v>691</v>
      </c>
      <c r="D22" s="51">
        <v>462</v>
      </c>
      <c r="E22" s="51">
        <v>649</v>
      </c>
      <c r="F22" s="51">
        <v>423</v>
      </c>
      <c r="G22" s="51">
        <v>649</v>
      </c>
      <c r="H22" s="51">
        <v>420</v>
      </c>
      <c r="I22" s="51">
        <v>40</v>
      </c>
      <c r="J22" s="51">
        <v>3</v>
      </c>
      <c r="K22" s="190">
        <f t="shared" si="0"/>
        <v>2</v>
      </c>
      <c r="L22" s="190">
        <f t="shared" si="1"/>
        <v>36</v>
      </c>
      <c r="M22" s="57">
        <v>14458</v>
      </c>
      <c r="N22" s="57">
        <v>8104</v>
      </c>
      <c r="O22" s="57">
        <v>3255</v>
      </c>
      <c r="P22" s="57">
        <v>927</v>
      </c>
      <c r="Q22" s="7">
        <v>0</v>
      </c>
      <c r="R22" s="7"/>
      <c r="S22" s="7"/>
      <c r="V22" s="7"/>
    </row>
    <row r="23" spans="1:22" ht="12.75">
      <c r="A23" s="50">
        <v>18</v>
      </c>
      <c r="B23" s="51" t="s">
        <v>19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190">
        <f t="shared" si="0"/>
        <v>0</v>
      </c>
      <c r="L23" s="190">
        <f t="shared" si="1"/>
        <v>0</v>
      </c>
      <c r="M23" s="57">
        <v>129</v>
      </c>
      <c r="N23" s="57">
        <v>187</v>
      </c>
      <c r="O23" s="57">
        <v>18</v>
      </c>
      <c r="P23" s="57">
        <v>10</v>
      </c>
      <c r="Q23" s="7"/>
      <c r="R23" s="7"/>
      <c r="S23" s="7"/>
      <c r="V23" s="7"/>
    </row>
    <row r="24" spans="1:22" ht="12.75">
      <c r="A24" s="50">
        <v>19</v>
      </c>
      <c r="B24" s="51" t="s">
        <v>124</v>
      </c>
      <c r="C24" s="51">
        <v>33</v>
      </c>
      <c r="D24" s="51">
        <v>48</v>
      </c>
      <c r="E24" s="51">
        <v>33</v>
      </c>
      <c r="F24" s="51">
        <v>48</v>
      </c>
      <c r="G24" s="51">
        <v>33</v>
      </c>
      <c r="H24" s="51">
        <v>42</v>
      </c>
      <c r="I24" s="51">
        <v>0</v>
      </c>
      <c r="J24" s="51">
        <v>0</v>
      </c>
      <c r="K24" s="190">
        <f t="shared" si="0"/>
        <v>0</v>
      </c>
      <c r="L24" s="190">
        <f t="shared" si="1"/>
        <v>0</v>
      </c>
      <c r="M24" s="57">
        <v>429</v>
      </c>
      <c r="N24" s="57">
        <v>643</v>
      </c>
      <c r="O24" s="57">
        <v>0</v>
      </c>
      <c r="P24" s="57">
        <v>0</v>
      </c>
      <c r="Q24" s="7">
        <v>0</v>
      </c>
      <c r="R24" s="7"/>
      <c r="S24" s="7"/>
      <c r="V24" s="7"/>
    </row>
    <row r="25" spans="1:22" s="165" customFormat="1" ht="14.25">
      <c r="A25" s="163"/>
      <c r="B25" s="128" t="s">
        <v>224</v>
      </c>
      <c r="C25" s="128">
        <f aca="true" t="shared" si="2" ref="C25:P25">SUM(C6:C24)</f>
        <v>6487</v>
      </c>
      <c r="D25" s="128">
        <f t="shared" si="2"/>
        <v>5025</v>
      </c>
      <c r="E25" s="128">
        <f t="shared" si="2"/>
        <v>6281</v>
      </c>
      <c r="F25" s="128">
        <f t="shared" si="2"/>
        <v>4884</v>
      </c>
      <c r="G25" s="128">
        <f t="shared" si="2"/>
        <v>5937</v>
      </c>
      <c r="H25" s="128">
        <f t="shared" si="2"/>
        <v>4520</v>
      </c>
      <c r="I25" s="128">
        <f t="shared" si="2"/>
        <v>147</v>
      </c>
      <c r="J25" s="128">
        <f t="shared" si="2"/>
        <v>65</v>
      </c>
      <c r="K25" s="197">
        <f aca="true" t="shared" si="3" ref="K25:K33">C25-E25-I25</f>
        <v>59</v>
      </c>
      <c r="L25" s="197">
        <f aca="true" t="shared" si="4" ref="L25:L33">D25-F25-J25</f>
        <v>76</v>
      </c>
      <c r="M25" s="164">
        <f t="shared" si="2"/>
        <v>145238</v>
      </c>
      <c r="N25" s="164">
        <f t="shared" si="2"/>
        <v>95648</v>
      </c>
      <c r="O25" s="164">
        <f t="shared" si="2"/>
        <v>34611</v>
      </c>
      <c r="P25" s="164">
        <f t="shared" si="2"/>
        <v>16702</v>
      </c>
      <c r="Q25" s="166"/>
      <c r="R25" s="166"/>
      <c r="S25" s="166"/>
      <c r="T25" s="166"/>
      <c r="V25" s="166"/>
    </row>
    <row r="26" spans="1:22" ht="12.75">
      <c r="A26" s="54">
        <v>20</v>
      </c>
      <c r="B26" s="51" t="s">
        <v>23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190">
        <f t="shared" si="3"/>
        <v>0</v>
      </c>
      <c r="L26" s="190">
        <f t="shared" si="4"/>
        <v>0</v>
      </c>
      <c r="M26" s="57">
        <v>28</v>
      </c>
      <c r="N26" s="57">
        <v>32</v>
      </c>
      <c r="O26" s="57">
        <v>0</v>
      </c>
      <c r="P26" s="57">
        <v>0</v>
      </c>
      <c r="Q26" s="7"/>
      <c r="R26" s="7"/>
      <c r="S26" s="7"/>
      <c r="V26" s="7"/>
    </row>
    <row r="27" spans="1:22" ht="12.75">
      <c r="A27" s="54">
        <v>21</v>
      </c>
      <c r="B27" s="51" t="s">
        <v>269</v>
      </c>
      <c r="C27" s="51">
        <v>2</v>
      </c>
      <c r="D27" s="51">
        <v>1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190">
        <f t="shared" si="3"/>
        <v>2</v>
      </c>
      <c r="L27" s="190">
        <f t="shared" si="4"/>
        <v>1</v>
      </c>
      <c r="M27" s="57">
        <v>27</v>
      </c>
      <c r="N27" s="57">
        <v>145</v>
      </c>
      <c r="O27" s="57">
        <v>0</v>
      </c>
      <c r="P27" s="57">
        <v>0</v>
      </c>
      <c r="Q27" s="7"/>
      <c r="R27" s="7"/>
      <c r="S27" s="7"/>
      <c r="V27" s="7"/>
    </row>
    <row r="28" spans="1:22" ht="12.75">
      <c r="A28" s="54">
        <v>22</v>
      </c>
      <c r="B28" s="51" t="s">
        <v>169</v>
      </c>
      <c r="C28" s="51">
        <v>14</v>
      </c>
      <c r="D28" s="51">
        <v>28</v>
      </c>
      <c r="E28" s="51">
        <v>14</v>
      </c>
      <c r="F28" s="51">
        <v>28</v>
      </c>
      <c r="G28" s="51">
        <v>14</v>
      </c>
      <c r="H28" s="51">
        <v>28</v>
      </c>
      <c r="I28" s="51">
        <v>0</v>
      </c>
      <c r="J28" s="51">
        <v>0</v>
      </c>
      <c r="K28" s="190">
        <f t="shared" si="3"/>
        <v>0</v>
      </c>
      <c r="L28" s="190">
        <f t="shared" si="4"/>
        <v>0</v>
      </c>
      <c r="M28" s="57">
        <v>259</v>
      </c>
      <c r="N28" s="57">
        <v>187</v>
      </c>
      <c r="O28" s="57">
        <v>0</v>
      </c>
      <c r="P28" s="57">
        <v>0</v>
      </c>
      <c r="Q28" s="7"/>
      <c r="R28" s="7"/>
      <c r="S28" s="7"/>
      <c r="V28" s="7"/>
    </row>
    <row r="29" spans="1:22" ht="13.5" customHeight="1">
      <c r="A29" s="54">
        <v>23</v>
      </c>
      <c r="B29" s="51" t="s">
        <v>22</v>
      </c>
      <c r="C29" s="51">
        <v>3</v>
      </c>
      <c r="D29" s="51">
        <v>4</v>
      </c>
      <c r="E29" s="51">
        <v>3</v>
      </c>
      <c r="F29" s="51">
        <v>4</v>
      </c>
      <c r="G29" s="51">
        <v>6</v>
      </c>
      <c r="H29" s="51">
        <v>6</v>
      </c>
      <c r="I29" s="51">
        <v>0</v>
      </c>
      <c r="J29" s="51">
        <v>0</v>
      </c>
      <c r="K29" s="190">
        <f t="shared" si="3"/>
        <v>0</v>
      </c>
      <c r="L29" s="190">
        <f t="shared" si="4"/>
        <v>0</v>
      </c>
      <c r="M29" s="57">
        <v>47</v>
      </c>
      <c r="N29" s="57">
        <v>32</v>
      </c>
      <c r="O29" s="57">
        <v>19</v>
      </c>
      <c r="P29" s="57">
        <v>8</v>
      </c>
      <c r="Q29" s="7"/>
      <c r="R29" s="7"/>
      <c r="S29" s="7"/>
      <c r="V29" s="7"/>
    </row>
    <row r="30" spans="1:22" s="103" customFormat="1" ht="12.75">
      <c r="A30" s="54">
        <v>24</v>
      </c>
      <c r="B30" s="57" t="s">
        <v>141</v>
      </c>
      <c r="C30" s="57">
        <v>2</v>
      </c>
      <c r="D30" s="57">
        <v>40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190">
        <f t="shared" si="3"/>
        <v>2</v>
      </c>
      <c r="L30" s="190">
        <f t="shared" si="4"/>
        <v>40</v>
      </c>
      <c r="M30" s="57">
        <v>313</v>
      </c>
      <c r="N30" s="57">
        <v>231</v>
      </c>
      <c r="O30" s="57">
        <v>41</v>
      </c>
      <c r="P30" s="57">
        <v>4</v>
      </c>
      <c r="Q30" s="19">
        <v>164.7</v>
      </c>
      <c r="R30" s="19"/>
      <c r="S30" s="20"/>
      <c r="T30" s="501"/>
      <c r="U30" s="105"/>
      <c r="V30" s="20"/>
    </row>
    <row r="31" spans="1:22" ht="12.75">
      <c r="A31" s="54">
        <v>25</v>
      </c>
      <c r="B31" s="51" t="s">
        <v>18</v>
      </c>
      <c r="C31" s="51">
        <v>925</v>
      </c>
      <c r="D31" s="51">
        <v>861</v>
      </c>
      <c r="E31" s="51">
        <v>925</v>
      </c>
      <c r="F31" s="51">
        <v>861</v>
      </c>
      <c r="G31" s="51">
        <v>880</v>
      </c>
      <c r="H31" s="51">
        <v>783</v>
      </c>
      <c r="I31" s="51">
        <v>0</v>
      </c>
      <c r="J31" s="51">
        <v>0</v>
      </c>
      <c r="K31" s="190">
        <f t="shared" si="3"/>
        <v>0</v>
      </c>
      <c r="L31" s="190">
        <f t="shared" si="4"/>
        <v>0</v>
      </c>
      <c r="M31" s="57">
        <v>58516</v>
      </c>
      <c r="N31" s="57">
        <v>26842</v>
      </c>
      <c r="O31" s="57">
        <v>13732</v>
      </c>
      <c r="P31" s="57">
        <v>6446</v>
      </c>
      <c r="Q31" s="7">
        <v>0</v>
      </c>
      <c r="R31" s="7"/>
      <c r="S31" s="7"/>
      <c r="V31" s="7"/>
    </row>
    <row r="32" spans="1:22" ht="12.75">
      <c r="A32" s="54">
        <v>26</v>
      </c>
      <c r="B32" s="51" t="s">
        <v>104</v>
      </c>
      <c r="C32" s="51">
        <v>345</v>
      </c>
      <c r="D32" s="51">
        <v>313</v>
      </c>
      <c r="E32" s="51">
        <v>315</v>
      </c>
      <c r="F32" s="51">
        <v>248</v>
      </c>
      <c r="G32" s="51">
        <v>300</v>
      </c>
      <c r="H32" s="51">
        <v>213</v>
      </c>
      <c r="I32" s="51">
        <v>0</v>
      </c>
      <c r="J32" s="51">
        <v>0</v>
      </c>
      <c r="K32" s="190">
        <f t="shared" si="3"/>
        <v>30</v>
      </c>
      <c r="L32" s="190">
        <f t="shared" si="4"/>
        <v>65</v>
      </c>
      <c r="M32" s="57">
        <v>54972</v>
      </c>
      <c r="N32" s="57">
        <v>35136</v>
      </c>
      <c r="O32" s="57">
        <v>5811</v>
      </c>
      <c r="P32" s="57">
        <v>623</v>
      </c>
      <c r="Q32" s="7">
        <v>0</v>
      </c>
      <c r="R32" s="7"/>
      <c r="S32" s="7"/>
      <c r="V32" s="7"/>
    </row>
    <row r="33" spans="1:22" s="165" customFormat="1" ht="14.25">
      <c r="A33" s="163"/>
      <c r="B33" s="128" t="s">
        <v>226</v>
      </c>
      <c r="C33" s="128">
        <f aca="true" t="shared" si="5" ref="C33:P33">SUM(C26:C32)</f>
        <v>1291</v>
      </c>
      <c r="D33" s="128">
        <f t="shared" si="5"/>
        <v>1247</v>
      </c>
      <c r="E33" s="128">
        <f t="shared" si="5"/>
        <v>1257</v>
      </c>
      <c r="F33" s="128">
        <f t="shared" si="5"/>
        <v>1141</v>
      </c>
      <c r="G33" s="128">
        <f t="shared" si="5"/>
        <v>1200</v>
      </c>
      <c r="H33" s="128">
        <f t="shared" si="5"/>
        <v>1030</v>
      </c>
      <c r="I33" s="128">
        <f t="shared" si="5"/>
        <v>0</v>
      </c>
      <c r="J33" s="128">
        <f t="shared" si="5"/>
        <v>0</v>
      </c>
      <c r="K33" s="197">
        <f t="shared" si="3"/>
        <v>34</v>
      </c>
      <c r="L33" s="197">
        <f t="shared" si="4"/>
        <v>106</v>
      </c>
      <c r="M33" s="164">
        <f t="shared" si="5"/>
        <v>114162</v>
      </c>
      <c r="N33" s="164">
        <f t="shared" si="5"/>
        <v>62605</v>
      </c>
      <c r="O33" s="164">
        <f t="shared" si="5"/>
        <v>19603</v>
      </c>
      <c r="P33" s="164">
        <f t="shared" si="5"/>
        <v>7081</v>
      </c>
      <c r="Q33" s="166"/>
      <c r="R33" s="166"/>
      <c r="S33" s="166"/>
      <c r="T33" s="166"/>
      <c r="V33" s="166"/>
    </row>
    <row r="34" spans="1:22" ht="12.75">
      <c r="A34" s="54">
        <v>27</v>
      </c>
      <c r="B34" s="51" t="s">
        <v>163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190">
        <f aca="true" t="shared" si="6" ref="K34:K44">C34-E34-I34</f>
        <v>0</v>
      </c>
      <c r="L34" s="190">
        <f aca="true" t="shared" si="7" ref="L34:L46">D34-F34-J34</f>
        <v>0</v>
      </c>
      <c r="M34" s="57">
        <v>460</v>
      </c>
      <c r="N34" s="57">
        <v>228</v>
      </c>
      <c r="O34" s="57">
        <v>0</v>
      </c>
      <c r="P34" s="57">
        <v>0</v>
      </c>
      <c r="Q34" s="7">
        <v>0</v>
      </c>
      <c r="R34" s="7"/>
      <c r="S34" s="7"/>
      <c r="V34" s="7"/>
    </row>
    <row r="35" spans="1:22" s="103" customFormat="1" ht="12.75">
      <c r="A35" s="54">
        <v>28</v>
      </c>
      <c r="B35" s="57" t="s">
        <v>231</v>
      </c>
      <c r="C35" s="57">
        <v>0</v>
      </c>
      <c r="D35" s="57">
        <v>0</v>
      </c>
      <c r="E35" s="57">
        <v>0</v>
      </c>
      <c r="F35" s="57">
        <v>0</v>
      </c>
      <c r="G35" s="57">
        <v>35</v>
      </c>
      <c r="H35" s="57">
        <v>10</v>
      </c>
      <c r="I35" s="57">
        <v>0</v>
      </c>
      <c r="J35" s="57">
        <v>0</v>
      </c>
      <c r="K35" s="190">
        <f>C35-E35-I35</f>
        <v>0</v>
      </c>
      <c r="L35" s="190">
        <f t="shared" si="7"/>
        <v>0</v>
      </c>
      <c r="M35" s="57">
        <v>313</v>
      </c>
      <c r="N35" s="57">
        <v>83</v>
      </c>
      <c r="O35" s="57">
        <v>0</v>
      </c>
      <c r="P35" s="57">
        <v>0</v>
      </c>
      <c r="Q35" s="19">
        <v>0</v>
      </c>
      <c r="R35" s="19"/>
      <c r="S35" s="19"/>
      <c r="T35" s="19"/>
      <c r="V35" s="19"/>
    </row>
    <row r="36" spans="1:22" ht="12.75">
      <c r="A36" s="54">
        <v>29</v>
      </c>
      <c r="B36" s="51" t="s">
        <v>218</v>
      </c>
      <c r="C36" s="51">
        <v>0</v>
      </c>
      <c r="D36" s="51">
        <v>0</v>
      </c>
      <c r="E36" s="51">
        <v>0</v>
      </c>
      <c r="F36" s="51">
        <v>0</v>
      </c>
      <c r="G36" s="51">
        <v>3</v>
      </c>
      <c r="H36" s="51">
        <v>21</v>
      </c>
      <c r="I36" s="51">
        <v>0</v>
      </c>
      <c r="J36" s="51">
        <v>0</v>
      </c>
      <c r="K36" s="190">
        <f t="shared" si="6"/>
        <v>0</v>
      </c>
      <c r="L36" s="190">
        <f t="shared" si="7"/>
        <v>0</v>
      </c>
      <c r="M36" s="57">
        <v>803</v>
      </c>
      <c r="N36" s="57">
        <v>2278</v>
      </c>
      <c r="O36" s="57">
        <v>0</v>
      </c>
      <c r="P36" s="57">
        <v>0</v>
      </c>
      <c r="Q36" s="7">
        <v>0</v>
      </c>
      <c r="R36" s="7"/>
      <c r="S36" s="7"/>
      <c r="V36" s="7"/>
    </row>
    <row r="37" spans="1:22" ht="12.75">
      <c r="A37" s="54">
        <v>30</v>
      </c>
      <c r="B37" s="51" t="s">
        <v>236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190">
        <f t="shared" si="6"/>
        <v>0</v>
      </c>
      <c r="L37" s="190">
        <f t="shared" si="7"/>
        <v>0</v>
      </c>
      <c r="M37" s="57">
        <v>79</v>
      </c>
      <c r="N37" s="57">
        <v>34</v>
      </c>
      <c r="O37" s="57">
        <v>39</v>
      </c>
      <c r="P37" s="57">
        <v>18</v>
      </c>
      <c r="Q37" s="7"/>
      <c r="R37" s="7"/>
      <c r="S37" s="7"/>
      <c r="V37" s="7"/>
    </row>
    <row r="38" spans="1:22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190">
        <f t="shared" si="6"/>
        <v>0</v>
      </c>
      <c r="L38" s="190">
        <f t="shared" si="7"/>
        <v>0</v>
      </c>
      <c r="M38" s="57">
        <v>0</v>
      </c>
      <c r="N38" s="57">
        <v>0</v>
      </c>
      <c r="O38" s="57">
        <v>0</v>
      </c>
      <c r="P38" s="57">
        <v>0</v>
      </c>
      <c r="Q38" s="19"/>
      <c r="R38" s="19"/>
      <c r="S38" s="19"/>
      <c r="T38" s="19"/>
      <c r="V38" s="19"/>
    </row>
    <row r="39" spans="1:22" ht="12.75">
      <c r="A39" s="54">
        <v>32</v>
      </c>
      <c r="B39" s="51" t="s">
        <v>220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190">
        <f t="shared" si="6"/>
        <v>0</v>
      </c>
      <c r="L39" s="190">
        <f t="shared" si="7"/>
        <v>0</v>
      </c>
      <c r="M39" s="57">
        <v>0</v>
      </c>
      <c r="N39" s="57">
        <v>0</v>
      </c>
      <c r="O39" s="57">
        <v>0</v>
      </c>
      <c r="P39" s="57">
        <v>0</v>
      </c>
      <c r="Q39" s="7"/>
      <c r="R39" s="7"/>
      <c r="S39" s="7"/>
      <c r="V39" s="7"/>
    </row>
    <row r="40" spans="1:22" ht="12.75">
      <c r="A40" s="110">
        <v>33</v>
      </c>
      <c r="B40" s="113" t="s">
        <v>363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190">
        <f t="shared" si="6"/>
        <v>0</v>
      </c>
      <c r="L40" s="190">
        <f t="shared" si="7"/>
        <v>0</v>
      </c>
      <c r="M40" s="57">
        <v>0</v>
      </c>
      <c r="N40" s="57">
        <v>0</v>
      </c>
      <c r="O40" s="57">
        <v>0</v>
      </c>
      <c r="P40" s="57">
        <v>0</v>
      </c>
      <c r="Q40" s="7"/>
      <c r="R40" s="7"/>
      <c r="S40" s="7"/>
      <c r="V40" s="7"/>
    </row>
    <row r="41" spans="1:22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190">
        <f t="shared" si="6"/>
        <v>0</v>
      </c>
      <c r="L41" s="190">
        <f t="shared" si="7"/>
        <v>0</v>
      </c>
      <c r="M41" s="57">
        <v>0</v>
      </c>
      <c r="N41" s="57">
        <v>0</v>
      </c>
      <c r="O41" s="57">
        <v>0</v>
      </c>
      <c r="P41" s="57">
        <v>0</v>
      </c>
      <c r="Q41" s="19"/>
      <c r="R41" s="19"/>
      <c r="S41" s="19"/>
      <c r="T41" s="19"/>
      <c r="V41" s="19"/>
    </row>
    <row r="42" spans="1:22" ht="12.75">
      <c r="A42" s="54">
        <v>35</v>
      </c>
      <c r="B42" s="51" t="s">
        <v>256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190">
        <f t="shared" si="6"/>
        <v>0</v>
      </c>
      <c r="L42" s="190">
        <f t="shared" si="7"/>
        <v>0</v>
      </c>
      <c r="M42" s="57">
        <v>8</v>
      </c>
      <c r="N42" s="57">
        <v>2</v>
      </c>
      <c r="O42" s="57">
        <v>6</v>
      </c>
      <c r="P42" s="57">
        <v>1</v>
      </c>
      <c r="Q42" s="7">
        <v>0</v>
      </c>
      <c r="R42" s="7"/>
      <c r="S42" s="7"/>
      <c r="V42" s="7"/>
    </row>
    <row r="43" spans="1:22" ht="12.75">
      <c r="A43" s="54">
        <v>36</v>
      </c>
      <c r="B43" s="51" t="s">
        <v>24</v>
      </c>
      <c r="C43" s="51">
        <v>4</v>
      </c>
      <c r="D43" s="51">
        <v>3</v>
      </c>
      <c r="E43" s="51">
        <v>4</v>
      </c>
      <c r="F43" s="51">
        <v>3</v>
      </c>
      <c r="G43" s="51">
        <v>2</v>
      </c>
      <c r="H43" s="51">
        <v>1</v>
      </c>
      <c r="I43" s="51">
        <v>0</v>
      </c>
      <c r="J43" s="51">
        <v>0</v>
      </c>
      <c r="K43" s="190">
        <f t="shared" si="6"/>
        <v>0</v>
      </c>
      <c r="L43" s="190">
        <f t="shared" si="7"/>
        <v>0</v>
      </c>
      <c r="M43" s="57">
        <v>92</v>
      </c>
      <c r="N43" s="57">
        <v>33</v>
      </c>
      <c r="O43" s="57">
        <v>65</v>
      </c>
      <c r="P43" s="57">
        <v>19</v>
      </c>
      <c r="Q43" s="7">
        <v>64.48</v>
      </c>
      <c r="R43" s="7"/>
      <c r="S43" s="7"/>
      <c r="V43" s="7"/>
    </row>
    <row r="44" spans="1:22" ht="12.75">
      <c r="A44" s="54">
        <v>37</v>
      </c>
      <c r="B44" s="51" t="s">
        <v>223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190">
        <f t="shared" si="6"/>
        <v>0</v>
      </c>
      <c r="L44" s="190">
        <f t="shared" si="7"/>
        <v>0</v>
      </c>
      <c r="M44" s="57">
        <v>0</v>
      </c>
      <c r="N44" s="57">
        <v>0</v>
      </c>
      <c r="O44" s="57">
        <v>0</v>
      </c>
      <c r="P44" s="57">
        <v>0</v>
      </c>
      <c r="Q44" s="7">
        <v>0</v>
      </c>
      <c r="R44" s="7"/>
      <c r="S44" s="7"/>
      <c r="V44" s="7"/>
    </row>
    <row r="45" spans="1:22" ht="12.75">
      <c r="A45" s="54">
        <v>38</v>
      </c>
      <c r="B45" s="51" t="s">
        <v>364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190">
        <f>C45-E45-I45</f>
        <v>0</v>
      </c>
      <c r="L45" s="190">
        <f>D45-F45-J45</f>
        <v>0</v>
      </c>
      <c r="M45" s="57">
        <v>0</v>
      </c>
      <c r="N45" s="57">
        <v>0</v>
      </c>
      <c r="O45" s="57">
        <v>0</v>
      </c>
      <c r="P45" s="57">
        <v>0</v>
      </c>
      <c r="Q45" s="7"/>
      <c r="R45" s="7"/>
      <c r="S45" s="7"/>
      <c r="V45" s="7"/>
    </row>
    <row r="46" spans="1:22" ht="12.75">
      <c r="A46" s="54">
        <v>39</v>
      </c>
      <c r="B46" s="57" t="s">
        <v>366</v>
      </c>
      <c r="C46" s="51">
        <v>0</v>
      </c>
      <c r="D46" s="51">
        <v>0</v>
      </c>
      <c r="E46" s="51">
        <v>0</v>
      </c>
      <c r="F46" s="51">
        <v>0</v>
      </c>
      <c r="G46" s="51">
        <v>2</v>
      </c>
      <c r="H46" s="51">
        <v>1</v>
      </c>
      <c r="I46" s="51">
        <v>0</v>
      </c>
      <c r="J46" s="51">
        <v>0</v>
      </c>
      <c r="K46" s="190">
        <f>C46-E46-I46</f>
        <v>0</v>
      </c>
      <c r="L46" s="190">
        <f t="shared" si="7"/>
        <v>0</v>
      </c>
      <c r="M46" s="57">
        <v>0</v>
      </c>
      <c r="N46" s="57">
        <v>0</v>
      </c>
      <c r="O46" s="57">
        <v>0</v>
      </c>
      <c r="P46" s="57">
        <v>0</v>
      </c>
      <c r="Q46" s="7"/>
      <c r="R46" s="7"/>
      <c r="S46" s="6"/>
      <c r="V46" s="7"/>
    </row>
    <row r="47" spans="1:22" s="165" customFormat="1" ht="14.25">
      <c r="A47" s="163"/>
      <c r="B47" s="128" t="s">
        <v>225</v>
      </c>
      <c r="C47" s="128">
        <f>SUM(C34:C46)</f>
        <v>4</v>
      </c>
      <c r="D47" s="128">
        <f aca="true" t="shared" si="8" ref="D47:P47">SUM(D34:D46)</f>
        <v>3</v>
      </c>
      <c r="E47" s="128">
        <f t="shared" si="8"/>
        <v>4</v>
      </c>
      <c r="F47" s="128">
        <f t="shared" si="8"/>
        <v>3</v>
      </c>
      <c r="G47" s="128">
        <f t="shared" si="8"/>
        <v>42</v>
      </c>
      <c r="H47" s="128">
        <f t="shared" si="8"/>
        <v>33</v>
      </c>
      <c r="I47" s="128">
        <f t="shared" si="8"/>
        <v>0</v>
      </c>
      <c r="J47" s="128">
        <f t="shared" si="8"/>
        <v>0</v>
      </c>
      <c r="K47" s="128">
        <f t="shared" si="8"/>
        <v>0</v>
      </c>
      <c r="L47" s="128">
        <f t="shared" si="8"/>
        <v>0</v>
      </c>
      <c r="M47" s="128">
        <f t="shared" si="8"/>
        <v>1755</v>
      </c>
      <c r="N47" s="128">
        <f t="shared" si="8"/>
        <v>2658</v>
      </c>
      <c r="O47" s="128">
        <f t="shared" si="8"/>
        <v>110</v>
      </c>
      <c r="P47" s="128">
        <f t="shared" si="8"/>
        <v>38</v>
      </c>
      <c r="Q47" s="166"/>
      <c r="R47" s="166"/>
      <c r="S47" s="167"/>
      <c r="T47" s="166"/>
      <c r="V47" s="166"/>
    </row>
    <row r="48" spans="1:22" s="165" customFormat="1" ht="14.25">
      <c r="A48" s="163"/>
      <c r="B48" s="87" t="s">
        <v>123</v>
      </c>
      <c r="C48" s="128">
        <f aca="true" t="shared" si="9" ref="C48:P48">C25+C33+C47</f>
        <v>7782</v>
      </c>
      <c r="D48" s="128">
        <f t="shared" si="9"/>
        <v>6275</v>
      </c>
      <c r="E48" s="128">
        <f t="shared" si="9"/>
        <v>7542</v>
      </c>
      <c r="F48" s="128">
        <f t="shared" si="9"/>
        <v>6028</v>
      </c>
      <c r="G48" s="128">
        <f t="shared" si="9"/>
        <v>7179</v>
      </c>
      <c r="H48" s="128">
        <f t="shared" si="9"/>
        <v>5583</v>
      </c>
      <c r="I48" s="128">
        <f t="shared" si="9"/>
        <v>147</v>
      </c>
      <c r="J48" s="128">
        <f t="shared" si="9"/>
        <v>65</v>
      </c>
      <c r="K48" s="197">
        <f t="shared" si="9"/>
        <v>93</v>
      </c>
      <c r="L48" s="197">
        <f t="shared" si="9"/>
        <v>182</v>
      </c>
      <c r="M48" s="164">
        <f t="shared" si="9"/>
        <v>261155</v>
      </c>
      <c r="N48" s="164">
        <f t="shared" si="9"/>
        <v>160911</v>
      </c>
      <c r="O48" s="164">
        <f t="shared" si="9"/>
        <v>54324</v>
      </c>
      <c r="P48" s="164">
        <f t="shared" si="9"/>
        <v>23821</v>
      </c>
      <c r="Q48" s="167"/>
      <c r="R48" s="167"/>
      <c r="S48" s="167"/>
      <c r="T48" s="166"/>
      <c r="V48" s="166"/>
    </row>
    <row r="49" spans="1:22" ht="12.7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190"/>
      <c r="L49" s="190"/>
      <c r="M49" s="57"/>
      <c r="N49" s="57"/>
      <c r="O49" s="57"/>
      <c r="P49" s="57"/>
      <c r="Q49" s="8"/>
      <c r="R49" s="8"/>
      <c r="S49" s="8"/>
      <c r="T49" s="8"/>
      <c r="U49" s="2"/>
      <c r="V49" s="8"/>
    </row>
    <row r="50" spans="1:22" ht="12.7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190"/>
      <c r="L50" s="190"/>
      <c r="M50" s="57"/>
      <c r="N50" s="57"/>
      <c r="O50" s="57"/>
      <c r="P50" s="57"/>
      <c r="Q50" s="8"/>
      <c r="R50" s="8"/>
      <c r="S50" s="8"/>
      <c r="T50" s="8"/>
      <c r="U50" s="2"/>
      <c r="V50" s="8"/>
    </row>
    <row r="51" spans="1:22" ht="12.7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190"/>
      <c r="L51" s="190"/>
      <c r="M51" s="57"/>
      <c r="N51" s="57"/>
      <c r="O51" s="57"/>
      <c r="P51" s="57"/>
      <c r="Q51" s="8"/>
      <c r="R51" s="8"/>
      <c r="S51" s="8"/>
      <c r="T51" s="8"/>
      <c r="U51" s="2"/>
      <c r="V51" s="8"/>
    </row>
    <row r="52" spans="1:22" ht="21.75" customHeight="1">
      <c r="A52" s="25" t="s">
        <v>4</v>
      </c>
      <c r="B52" s="25" t="s">
        <v>5</v>
      </c>
      <c r="C52" s="620" t="s">
        <v>152</v>
      </c>
      <c r="D52" s="605"/>
      <c r="E52" s="620" t="s">
        <v>151</v>
      </c>
      <c r="F52" s="605"/>
      <c r="G52" s="620" t="s">
        <v>153</v>
      </c>
      <c r="H52" s="605"/>
      <c r="I52" s="606" t="s">
        <v>154</v>
      </c>
      <c r="J52" s="607"/>
      <c r="K52" s="608" t="s">
        <v>155</v>
      </c>
      <c r="L52" s="609"/>
      <c r="M52" s="624" t="s">
        <v>94</v>
      </c>
      <c r="N52" s="625"/>
      <c r="O52" s="624" t="s">
        <v>156</v>
      </c>
      <c r="P52" s="625"/>
      <c r="Q52" s="8"/>
      <c r="R52" s="8"/>
      <c r="S52" s="8"/>
      <c r="T52" s="8"/>
      <c r="U52" s="2"/>
      <c r="V52" s="8"/>
    </row>
    <row r="53" spans="1:22" ht="12.75">
      <c r="A53" s="26"/>
      <c r="B53" s="26"/>
      <c r="C53" s="80" t="s">
        <v>57</v>
      </c>
      <c r="D53" s="80" t="s">
        <v>63</v>
      </c>
      <c r="E53" s="80" t="s">
        <v>57</v>
      </c>
      <c r="F53" s="80" t="s">
        <v>63</v>
      </c>
      <c r="G53" s="80" t="s">
        <v>57</v>
      </c>
      <c r="H53" s="80" t="s">
        <v>63</v>
      </c>
      <c r="I53" s="80" t="s">
        <v>57</v>
      </c>
      <c r="J53" s="80" t="s">
        <v>63</v>
      </c>
      <c r="K53" s="269" t="s">
        <v>57</v>
      </c>
      <c r="L53" s="269" t="s">
        <v>63</v>
      </c>
      <c r="M53" s="178" t="s">
        <v>57</v>
      </c>
      <c r="N53" s="178" t="s">
        <v>63</v>
      </c>
      <c r="O53" s="178" t="s">
        <v>57</v>
      </c>
      <c r="P53" s="178" t="s">
        <v>63</v>
      </c>
      <c r="Q53" s="8"/>
      <c r="R53" s="8"/>
      <c r="S53" s="8"/>
      <c r="T53" s="8"/>
      <c r="U53" s="2"/>
      <c r="V53" s="8"/>
    </row>
    <row r="54" spans="1:16" ht="15" customHeight="1">
      <c r="A54" s="54">
        <v>40</v>
      </c>
      <c r="B54" s="57" t="s">
        <v>78</v>
      </c>
      <c r="C54" s="51">
        <v>198</v>
      </c>
      <c r="D54" s="51">
        <v>90</v>
      </c>
      <c r="E54" s="51">
        <v>178</v>
      </c>
      <c r="F54" s="51">
        <v>80</v>
      </c>
      <c r="G54" s="51">
        <v>182</v>
      </c>
      <c r="H54" s="51">
        <v>77</v>
      </c>
      <c r="I54" s="51">
        <v>0</v>
      </c>
      <c r="J54" s="51">
        <v>0</v>
      </c>
      <c r="K54" s="190">
        <f aca="true" t="shared" si="10" ref="K54:K61">C54-E54-I54</f>
        <v>20</v>
      </c>
      <c r="L54" s="190">
        <f aca="true" t="shared" si="11" ref="L54:L61">D54-F54-J54</f>
        <v>10</v>
      </c>
      <c r="M54" s="57">
        <v>1327</v>
      </c>
      <c r="N54" s="57">
        <v>356</v>
      </c>
      <c r="O54" s="57">
        <v>0</v>
      </c>
      <c r="P54" s="57">
        <v>0</v>
      </c>
    </row>
    <row r="55" spans="1:16" ht="15" customHeight="1">
      <c r="A55" s="54">
        <v>41</v>
      </c>
      <c r="B55" s="57" t="s">
        <v>278</v>
      </c>
      <c r="C55" s="51">
        <v>5059</v>
      </c>
      <c r="D55" s="51">
        <v>4308</v>
      </c>
      <c r="E55" s="51">
        <v>4559</v>
      </c>
      <c r="F55" s="51">
        <v>3595</v>
      </c>
      <c r="G55" s="51">
        <v>4559</v>
      </c>
      <c r="H55" s="51">
        <v>3595</v>
      </c>
      <c r="I55" s="51">
        <v>0</v>
      </c>
      <c r="J55" s="51">
        <v>0</v>
      </c>
      <c r="K55" s="190">
        <f t="shared" si="10"/>
        <v>500</v>
      </c>
      <c r="L55" s="190">
        <f t="shared" si="11"/>
        <v>713</v>
      </c>
      <c r="M55" s="57">
        <v>32268</v>
      </c>
      <c r="N55" s="57">
        <v>11956</v>
      </c>
      <c r="O55" s="57">
        <v>4636</v>
      </c>
      <c r="P55" s="57">
        <v>1617</v>
      </c>
    </row>
    <row r="56" spans="1:16" ht="15" customHeight="1">
      <c r="A56" s="54">
        <v>42</v>
      </c>
      <c r="B56" s="57" t="s">
        <v>30</v>
      </c>
      <c r="C56" s="51">
        <v>292</v>
      </c>
      <c r="D56" s="51">
        <v>124</v>
      </c>
      <c r="E56" s="51">
        <v>292</v>
      </c>
      <c r="F56" s="51">
        <v>124</v>
      </c>
      <c r="G56" s="51">
        <v>292</v>
      </c>
      <c r="H56" s="51">
        <v>124</v>
      </c>
      <c r="I56" s="51">
        <v>0</v>
      </c>
      <c r="J56" s="51">
        <v>0</v>
      </c>
      <c r="K56" s="190">
        <f t="shared" si="10"/>
        <v>0</v>
      </c>
      <c r="L56" s="190">
        <f t="shared" si="11"/>
        <v>0</v>
      </c>
      <c r="M56" s="57">
        <v>2250</v>
      </c>
      <c r="N56" s="57">
        <v>1320</v>
      </c>
      <c r="O56" s="57">
        <v>0</v>
      </c>
      <c r="P56" s="57">
        <v>104</v>
      </c>
    </row>
    <row r="57" spans="1:16" ht="15" customHeight="1">
      <c r="A57" s="54">
        <v>43</v>
      </c>
      <c r="B57" s="57" t="s">
        <v>234</v>
      </c>
      <c r="C57" s="51">
        <v>1769</v>
      </c>
      <c r="D57" s="51">
        <v>899</v>
      </c>
      <c r="E57" s="51">
        <v>1764</v>
      </c>
      <c r="F57" s="51">
        <v>895</v>
      </c>
      <c r="G57" s="51">
        <v>1764</v>
      </c>
      <c r="H57" s="51">
        <v>895</v>
      </c>
      <c r="I57" s="51">
        <v>5</v>
      </c>
      <c r="J57" s="51">
        <v>4</v>
      </c>
      <c r="K57" s="190">
        <f t="shared" si="10"/>
        <v>0</v>
      </c>
      <c r="L57" s="190">
        <f t="shared" si="11"/>
        <v>0</v>
      </c>
      <c r="M57" s="57">
        <v>11062</v>
      </c>
      <c r="N57" s="57">
        <v>3675</v>
      </c>
      <c r="O57" s="57">
        <v>389</v>
      </c>
      <c r="P57" s="57">
        <v>114</v>
      </c>
    </row>
    <row r="58" spans="1:16" ht="15" customHeight="1">
      <c r="A58" s="54">
        <v>44</v>
      </c>
      <c r="B58" s="57" t="s">
        <v>29</v>
      </c>
      <c r="C58" s="51">
        <v>185</v>
      </c>
      <c r="D58" s="51">
        <v>157</v>
      </c>
      <c r="E58" s="51">
        <v>185</v>
      </c>
      <c r="F58" s="51">
        <v>157</v>
      </c>
      <c r="G58" s="51">
        <v>185</v>
      </c>
      <c r="H58" s="51">
        <v>157</v>
      </c>
      <c r="I58" s="51">
        <v>0</v>
      </c>
      <c r="J58" s="51">
        <v>0</v>
      </c>
      <c r="K58" s="190">
        <f t="shared" si="10"/>
        <v>0</v>
      </c>
      <c r="L58" s="190">
        <f t="shared" si="11"/>
        <v>0</v>
      </c>
      <c r="M58" s="57">
        <v>5006</v>
      </c>
      <c r="N58" s="57">
        <v>1071</v>
      </c>
      <c r="O58" s="57">
        <v>0</v>
      </c>
      <c r="P58" s="57">
        <v>0</v>
      </c>
    </row>
    <row r="59" spans="1:16" ht="15" customHeight="1">
      <c r="A59" s="54">
        <v>45</v>
      </c>
      <c r="B59" s="57" t="s">
        <v>391</v>
      </c>
      <c r="C59" s="51">
        <v>1191</v>
      </c>
      <c r="D59" s="51">
        <v>778</v>
      </c>
      <c r="E59" s="51">
        <v>1121</v>
      </c>
      <c r="F59" s="51">
        <v>751</v>
      </c>
      <c r="G59" s="51">
        <v>1116</v>
      </c>
      <c r="H59" s="51">
        <v>741</v>
      </c>
      <c r="I59" s="51">
        <v>9</v>
      </c>
      <c r="J59" s="51">
        <v>5</v>
      </c>
      <c r="K59" s="190">
        <f t="shared" si="10"/>
        <v>61</v>
      </c>
      <c r="L59" s="190">
        <f t="shared" si="11"/>
        <v>22</v>
      </c>
      <c r="M59" s="57">
        <v>23863</v>
      </c>
      <c r="N59" s="57">
        <v>7938</v>
      </c>
      <c r="O59" s="57">
        <v>2255</v>
      </c>
      <c r="P59" s="57">
        <v>516</v>
      </c>
    </row>
    <row r="60" spans="1:16" ht="15" customHeight="1">
      <c r="A60" s="54">
        <v>46</v>
      </c>
      <c r="B60" s="57" t="s">
        <v>25</v>
      </c>
      <c r="C60" s="51">
        <v>226</v>
      </c>
      <c r="D60" s="51">
        <v>122</v>
      </c>
      <c r="E60" s="51">
        <v>226</v>
      </c>
      <c r="F60" s="51">
        <v>122</v>
      </c>
      <c r="G60" s="51">
        <v>226</v>
      </c>
      <c r="H60" s="51">
        <v>122</v>
      </c>
      <c r="I60" s="51">
        <v>0</v>
      </c>
      <c r="J60" s="51">
        <v>0</v>
      </c>
      <c r="K60" s="190">
        <f t="shared" si="10"/>
        <v>0</v>
      </c>
      <c r="L60" s="190">
        <f t="shared" si="11"/>
        <v>0</v>
      </c>
      <c r="M60" s="57">
        <v>4596</v>
      </c>
      <c r="N60" s="57">
        <v>1257</v>
      </c>
      <c r="O60" s="57">
        <v>726</v>
      </c>
      <c r="P60" s="57">
        <v>184</v>
      </c>
    </row>
    <row r="61" spans="1:16" ht="15" customHeight="1">
      <c r="A61" s="54">
        <v>47</v>
      </c>
      <c r="B61" s="57" t="s">
        <v>28</v>
      </c>
      <c r="C61" s="51">
        <v>40</v>
      </c>
      <c r="D61" s="51">
        <v>32</v>
      </c>
      <c r="E61" s="51">
        <v>40</v>
      </c>
      <c r="F61" s="51">
        <v>32</v>
      </c>
      <c r="G61" s="51">
        <v>40</v>
      </c>
      <c r="H61" s="51">
        <v>32</v>
      </c>
      <c r="I61" s="51">
        <v>0</v>
      </c>
      <c r="J61" s="51">
        <v>0</v>
      </c>
      <c r="K61" s="190">
        <f t="shared" si="10"/>
        <v>0</v>
      </c>
      <c r="L61" s="190">
        <f t="shared" si="11"/>
        <v>0</v>
      </c>
      <c r="M61" s="57">
        <v>1147</v>
      </c>
      <c r="N61" s="57">
        <v>656</v>
      </c>
      <c r="O61" s="57">
        <v>0</v>
      </c>
      <c r="P61" s="57">
        <v>0</v>
      </c>
    </row>
    <row r="62" spans="1:20" s="165" customFormat="1" ht="15" customHeight="1">
      <c r="A62" s="54"/>
      <c r="B62" s="87" t="s">
        <v>123</v>
      </c>
      <c r="C62" s="128">
        <f aca="true" t="shared" si="12" ref="C62:P62">SUM(C54:C61)</f>
        <v>8960</v>
      </c>
      <c r="D62" s="128">
        <f t="shared" si="12"/>
        <v>6510</v>
      </c>
      <c r="E62" s="128">
        <f t="shared" si="12"/>
        <v>8365</v>
      </c>
      <c r="F62" s="128">
        <f t="shared" si="12"/>
        <v>5756</v>
      </c>
      <c r="G62" s="128">
        <f t="shared" si="12"/>
        <v>8364</v>
      </c>
      <c r="H62" s="128">
        <f t="shared" si="12"/>
        <v>5743</v>
      </c>
      <c r="I62" s="128">
        <f t="shared" si="12"/>
        <v>14</v>
      </c>
      <c r="J62" s="128">
        <f t="shared" si="12"/>
        <v>9</v>
      </c>
      <c r="K62" s="197">
        <f t="shared" si="12"/>
        <v>581</v>
      </c>
      <c r="L62" s="197">
        <f t="shared" si="12"/>
        <v>745</v>
      </c>
      <c r="M62" s="164">
        <f t="shared" si="12"/>
        <v>81519</v>
      </c>
      <c r="N62" s="164">
        <f t="shared" si="12"/>
        <v>28229</v>
      </c>
      <c r="O62" s="164">
        <f t="shared" si="12"/>
        <v>8006</v>
      </c>
      <c r="P62" s="164">
        <f t="shared" si="12"/>
        <v>2535</v>
      </c>
      <c r="Q62" s="167"/>
      <c r="R62" s="167"/>
      <c r="T62" s="166"/>
    </row>
    <row r="63" spans="1:16" ht="15" customHeight="1">
      <c r="A63" s="54"/>
      <c r="B63" t="s">
        <v>36</v>
      </c>
      <c r="C63" s="51"/>
      <c r="D63" s="51"/>
      <c r="E63" s="51"/>
      <c r="F63" s="51"/>
      <c r="G63" s="51"/>
      <c r="H63" s="51"/>
      <c r="I63" s="51"/>
      <c r="J63" s="51"/>
      <c r="K63" s="190"/>
      <c r="L63" s="190"/>
      <c r="M63" s="57"/>
      <c r="N63" s="57"/>
      <c r="O63" s="57"/>
      <c r="P63" s="57"/>
    </row>
    <row r="64" spans="1:22" ht="15" customHeight="1">
      <c r="A64" s="54">
        <v>48</v>
      </c>
      <c r="B64" s="51" t="s">
        <v>34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190">
        <f>C64-E64-I64</f>
        <v>0</v>
      </c>
      <c r="L64" s="190">
        <f>D64-F64-J64</f>
        <v>0</v>
      </c>
      <c r="M64" s="57">
        <v>181975</v>
      </c>
      <c r="N64" s="57">
        <v>5231</v>
      </c>
      <c r="O64" s="57">
        <v>0</v>
      </c>
      <c r="P64" s="57">
        <v>0</v>
      </c>
      <c r="S64" s="6"/>
      <c r="U64" s="6"/>
      <c r="V64" s="7"/>
    </row>
    <row r="65" spans="1:22" ht="15" customHeight="1">
      <c r="A65" s="54">
        <v>49</v>
      </c>
      <c r="B65" s="51" t="s">
        <v>130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190">
        <f>C65-E65-I65</f>
        <v>0</v>
      </c>
      <c r="L65" s="190">
        <f>D65-F65-J65</f>
        <v>0</v>
      </c>
      <c r="M65" s="57">
        <v>75248</v>
      </c>
      <c r="N65" s="57">
        <v>11929</v>
      </c>
      <c r="O65" s="57">
        <v>0</v>
      </c>
      <c r="P65" s="57">
        <v>0</v>
      </c>
      <c r="S65" s="6"/>
      <c r="U65" s="6"/>
      <c r="V65" s="7"/>
    </row>
    <row r="66" spans="1:20" s="165" customFormat="1" ht="15" customHeight="1">
      <c r="A66" s="163"/>
      <c r="B66" s="87" t="s">
        <v>123</v>
      </c>
      <c r="C66" s="128">
        <f aca="true" t="shared" si="13" ref="C66:L66">SUM(C64:C65)</f>
        <v>0</v>
      </c>
      <c r="D66" s="128">
        <f t="shared" si="13"/>
        <v>0</v>
      </c>
      <c r="E66" s="128">
        <f t="shared" si="13"/>
        <v>0</v>
      </c>
      <c r="F66" s="128">
        <f t="shared" si="13"/>
        <v>0</v>
      </c>
      <c r="G66" s="128">
        <f t="shared" si="13"/>
        <v>0</v>
      </c>
      <c r="H66" s="128">
        <f t="shared" si="13"/>
        <v>0</v>
      </c>
      <c r="I66" s="128">
        <f t="shared" si="13"/>
        <v>0</v>
      </c>
      <c r="J66" s="128">
        <f t="shared" si="13"/>
        <v>0</v>
      </c>
      <c r="K66" s="197">
        <f t="shared" si="13"/>
        <v>0</v>
      </c>
      <c r="L66" s="197">
        <f t="shared" si="13"/>
        <v>0</v>
      </c>
      <c r="M66" s="164">
        <f>SUM(M64:M65)</f>
        <v>257223</v>
      </c>
      <c r="N66" s="164">
        <f>SUM(N64:N65)</f>
        <v>17160</v>
      </c>
      <c r="O66" s="164">
        <f>SUM(O64:O65)</f>
        <v>0</v>
      </c>
      <c r="P66" s="164">
        <f>SUM(P64:P65)</f>
        <v>0</v>
      </c>
      <c r="Q66" s="167"/>
      <c r="R66" s="167"/>
      <c r="T66" s="166"/>
    </row>
    <row r="67" spans="1:20" s="165" customFormat="1" ht="15" customHeight="1">
      <c r="A67" s="163"/>
      <c r="B67" s="87" t="s">
        <v>35</v>
      </c>
      <c r="C67" s="128">
        <f aca="true" t="shared" si="14" ref="C67:P67">+C48+C62+C66</f>
        <v>16742</v>
      </c>
      <c r="D67" s="128">
        <f t="shared" si="14"/>
        <v>12785</v>
      </c>
      <c r="E67" s="128">
        <f t="shared" si="14"/>
        <v>15907</v>
      </c>
      <c r="F67" s="128">
        <f t="shared" si="14"/>
        <v>11784</v>
      </c>
      <c r="G67" s="128">
        <f t="shared" si="14"/>
        <v>15543</v>
      </c>
      <c r="H67" s="128">
        <f t="shared" si="14"/>
        <v>11326</v>
      </c>
      <c r="I67" s="128">
        <f t="shared" si="14"/>
        <v>161</v>
      </c>
      <c r="J67" s="128">
        <f t="shared" si="14"/>
        <v>74</v>
      </c>
      <c r="K67" s="197">
        <f t="shared" si="14"/>
        <v>674</v>
      </c>
      <c r="L67" s="197">
        <f t="shared" si="14"/>
        <v>927</v>
      </c>
      <c r="M67" s="164">
        <f t="shared" si="14"/>
        <v>599897</v>
      </c>
      <c r="N67" s="164">
        <f t="shared" si="14"/>
        <v>206300</v>
      </c>
      <c r="O67" s="164">
        <f t="shared" si="14"/>
        <v>62330</v>
      </c>
      <c r="P67" s="164">
        <f t="shared" si="14"/>
        <v>26356</v>
      </c>
      <c r="Q67" s="167"/>
      <c r="R67" s="167"/>
      <c r="T67" s="166"/>
    </row>
    <row r="69" ht="12.75">
      <c r="B69" t="s">
        <v>36</v>
      </c>
    </row>
    <row r="71" spans="5:6" ht="12.75">
      <c r="E71" s="6">
        <v>15</v>
      </c>
      <c r="F71" s="6" t="s">
        <v>383</v>
      </c>
    </row>
    <row r="73" ht="12.75">
      <c r="O73" s="22" t="s">
        <v>36</v>
      </c>
    </row>
  </sheetData>
  <sheetProtection/>
  <mergeCells count="14">
    <mergeCell ref="C4:D4"/>
    <mergeCell ref="C52:D52"/>
    <mergeCell ref="E4:F4"/>
    <mergeCell ref="M52:N52"/>
    <mergeCell ref="O52:P52"/>
    <mergeCell ref="E52:F52"/>
    <mergeCell ref="G52:H52"/>
    <mergeCell ref="I52:J52"/>
    <mergeCell ref="K52:L52"/>
    <mergeCell ref="O4:P4"/>
    <mergeCell ref="G4:H4"/>
    <mergeCell ref="I4:J4"/>
    <mergeCell ref="K4:L4"/>
    <mergeCell ref="M4:N4"/>
  </mergeCells>
  <printOptions gridLines="1" horizontalCentered="1"/>
  <pageMargins left="0.75" right="0.75" top="0.59" bottom="0.65" header="0.5" footer="0.5"/>
  <pageSetup blackAndWhite="1" horizontalDpi="300" verticalDpi="300" orientation="landscape" paperSize="9" scale="78" r:id="rId2"/>
  <rowBreaks count="1" manualBreakCount="1">
    <brk id="48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110" zoomScaleNormal="110" zoomScalePageLayoutView="0" workbookViewId="0" topLeftCell="G46">
      <selection activeCell="M6" sqref="M6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99" customWidth="1"/>
    <col min="12" max="12" width="10.7109375" style="99" customWidth="1"/>
    <col min="13" max="13" width="9.7109375" style="6" customWidth="1"/>
    <col min="14" max="14" width="10.7109375" style="6" customWidth="1"/>
    <col min="15" max="15" width="9.7109375" style="6" customWidth="1"/>
    <col min="16" max="16" width="10.7109375" style="6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0"/>
      <c r="B1" s="1"/>
      <c r="C1" s="3"/>
      <c r="D1" s="3"/>
      <c r="E1" s="3"/>
      <c r="F1" s="3"/>
      <c r="G1" s="3"/>
      <c r="H1" s="3"/>
      <c r="I1" s="3"/>
      <c r="J1" s="3"/>
      <c r="K1" s="259"/>
      <c r="L1" s="259"/>
      <c r="M1" s="3"/>
      <c r="N1" s="3"/>
      <c r="O1" s="3"/>
      <c r="P1" s="3"/>
      <c r="Q1" s="3"/>
      <c r="R1" s="3"/>
      <c r="S1" s="1"/>
      <c r="T1" s="9"/>
      <c r="U1" s="1"/>
    </row>
    <row r="2" spans="1:16" ht="15">
      <c r="A2" s="2"/>
      <c r="B2" s="10"/>
      <c r="C2" s="15"/>
      <c r="O2" s="3"/>
      <c r="P2" s="3"/>
    </row>
    <row r="3" spans="16:22" ht="15">
      <c r="P3" s="3"/>
      <c r="Q3" s="8"/>
      <c r="R3" s="8"/>
      <c r="T3" s="8"/>
      <c r="U3" s="2"/>
      <c r="V3" s="2"/>
    </row>
    <row r="4" spans="1:22" ht="12.75">
      <c r="A4" s="25" t="s">
        <v>4</v>
      </c>
      <c r="B4" s="25" t="s">
        <v>5</v>
      </c>
      <c r="C4" s="620" t="s">
        <v>152</v>
      </c>
      <c r="D4" s="605"/>
      <c r="E4" s="620" t="s">
        <v>151</v>
      </c>
      <c r="F4" s="605"/>
      <c r="G4" s="620" t="s">
        <v>153</v>
      </c>
      <c r="H4" s="605"/>
      <c r="I4" s="606" t="s">
        <v>154</v>
      </c>
      <c r="J4" s="607"/>
      <c r="K4" s="608" t="s">
        <v>155</v>
      </c>
      <c r="L4" s="609"/>
      <c r="M4" s="620" t="s">
        <v>94</v>
      </c>
      <c r="N4" s="605"/>
      <c r="O4" s="620" t="s">
        <v>156</v>
      </c>
      <c r="P4" s="605"/>
      <c r="Q4" s="13"/>
      <c r="R4" s="13"/>
      <c r="S4" s="12"/>
      <c r="T4" s="8"/>
      <c r="U4" s="12"/>
      <c r="V4" s="12"/>
    </row>
    <row r="5" spans="1:22" ht="12.75">
      <c r="A5" s="70"/>
      <c r="B5" s="70"/>
      <c r="C5" s="80" t="s">
        <v>57</v>
      </c>
      <c r="D5" s="80" t="s">
        <v>63</v>
      </c>
      <c r="E5" s="80" t="s">
        <v>57</v>
      </c>
      <c r="F5" s="80" t="s">
        <v>63</v>
      </c>
      <c r="G5" s="80" t="s">
        <v>57</v>
      </c>
      <c r="H5" s="80" t="s">
        <v>63</v>
      </c>
      <c r="I5" s="80" t="s">
        <v>57</v>
      </c>
      <c r="J5" s="80" t="s">
        <v>63</v>
      </c>
      <c r="K5" s="269" t="s">
        <v>57</v>
      </c>
      <c r="L5" s="269" t="s">
        <v>63</v>
      </c>
      <c r="M5" s="80" t="s">
        <v>57</v>
      </c>
      <c r="N5" s="80" t="s">
        <v>63</v>
      </c>
      <c r="O5" s="80" t="s">
        <v>57</v>
      </c>
      <c r="P5" s="80" t="s">
        <v>63</v>
      </c>
      <c r="Q5" s="14"/>
      <c r="R5" s="14"/>
      <c r="S5" s="11"/>
      <c r="T5" s="8"/>
      <c r="U5" s="2"/>
      <c r="V5" s="2"/>
    </row>
    <row r="6" spans="1:22" s="103" customFormat="1" ht="12.75">
      <c r="A6" s="54">
        <v>1</v>
      </c>
      <c r="B6" s="57" t="s">
        <v>7</v>
      </c>
      <c r="C6" s="57">
        <v>357</v>
      </c>
      <c r="D6" s="57">
        <v>109</v>
      </c>
      <c r="E6" s="57">
        <v>323</v>
      </c>
      <c r="F6" s="57">
        <v>97</v>
      </c>
      <c r="G6" s="57">
        <v>240</v>
      </c>
      <c r="H6" s="57">
        <v>7</v>
      </c>
      <c r="I6" s="57">
        <v>34</v>
      </c>
      <c r="J6" s="57">
        <v>12</v>
      </c>
      <c r="K6" s="190">
        <f aca="true" t="shared" si="0" ref="K6:L27">C6-E6-I6</f>
        <v>0</v>
      </c>
      <c r="L6" s="190">
        <f t="shared" si="0"/>
        <v>0</v>
      </c>
      <c r="M6" s="57">
        <v>8330</v>
      </c>
      <c r="N6" s="57">
        <v>4314</v>
      </c>
      <c r="O6" s="57">
        <v>1312</v>
      </c>
      <c r="P6" s="57">
        <v>541</v>
      </c>
      <c r="Q6" s="19">
        <v>0</v>
      </c>
      <c r="R6" s="19"/>
      <c r="S6" s="104"/>
      <c r="T6" s="20"/>
      <c r="U6" s="105"/>
      <c r="V6" s="105"/>
    </row>
    <row r="7" spans="1:21" s="103" customFormat="1" ht="12.75">
      <c r="A7" s="54">
        <v>2</v>
      </c>
      <c r="B7" s="57" t="s">
        <v>8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190">
        <f t="shared" si="0"/>
        <v>0</v>
      </c>
      <c r="L7" s="190">
        <f t="shared" si="0"/>
        <v>0</v>
      </c>
      <c r="M7" s="57">
        <v>22</v>
      </c>
      <c r="N7" s="57">
        <v>17</v>
      </c>
      <c r="O7" s="57">
        <v>0</v>
      </c>
      <c r="P7" s="57">
        <v>0</v>
      </c>
      <c r="Q7" s="19">
        <v>0</v>
      </c>
      <c r="R7" s="19"/>
      <c r="S7" s="106"/>
      <c r="T7" s="107"/>
      <c r="U7" s="108"/>
    </row>
    <row r="8" spans="1:22" s="103" customFormat="1" ht="12.75">
      <c r="A8" s="54">
        <v>3</v>
      </c>
      <c r="B8" s="57" t="s">
        <v>9</v>
      </c>
      <c r="C8" s="57">
        <v>188</v>
      </c>
      <c r="D8" s="57">
        <v>83</v>
      </c>
      <c r="E8" s="57">
        <v>179</v>
      </c>
      <c r="F8" s="57">
        <v>77</v>
      </c>
      <c r="G8" s="57">
        <v>179</v>
      </c>
      <c r="H8" s="57">
        <v>77</v>
      </c>
      <c r="I8" s="57">
        <v>9</v>
      </c>
      <c r="J8" s="57">
        <v>6</v>
      </c>
      <c r="K8" s="190">
        <f t="shared" si="0"/>
        <v>0</v>
      </c>
      <c r="L8" s="190">
        <f t="shared" si="0"/>
        <v>0</v>
      </c>
      <c r="M8" s="57">
        <v>11569</v>
      </c>
      <c r="N8" s="57">
        <v>8935</v>
      </c>
      <c r="O8" s="57">
        <v>5261</v>
      </c>
      <c r="P8" s="57">
        <v>1029</v>
      </c>
      <c r="Q8" s="19">
        <v>0</v>
      </c>
      <c r="R8" s="19"/>
      <c r="S8" s="19"/>
      <c r="T8" s="19"/>
      <c r="V8" s="19"/>
    </row>
    <row r="9" spans="1:22" ht="12.75">
      <c r="A9" s="50">
        <v>4</v>
      </c>
      <c r="B9" s="51" t="s">
        <v>10</v>
      </c>
      <c r="C9" s="51">
        <v>141</v>
      </c>
      <c r="D9" s="51">
        <v>99</v>
      </c>
      <c r="E9" s="51">
        <v>138</v>
      </c>
      <c r="F9" s="51">
        <v>94</v>
      </c>
      <c r="G9" s="51">
        <v>135</v>
      </c>
      <c r="H9" s="51">
        <v>83</v>
      </c>
      <c r="I9" s="51">
        <v>0</v>
      </c>
      <c r="J9" s="51">
        <v>0</v>
      </c>
      <c r="K9" s="190">
        <f t="shared" si="0"/>
        <v>3</v>
      </c>
      <c r="L9" s="190">
        <f t="shared" si="0"/>
        <v>5</v>
      </c>
      <c r="M9" s="51">
        <v>7502</v>
      </c>
      <c r="N9" s="51">
        <v>3648</v>
      </c>
      <c r="O9" s="51">
        <v>2449</v>
      </c>
      <c r="P9" s="51">
        <v>1413</v>
      </c>
      <c r="Q9" s="7">
        <v>0</v>
      </c>
      <c r="R9" s="7"/>
      <c r="S9" s="7"/>
      <c r="V9" s="7"/>
    </row>
    <row r="10" spans="1:22" ht="12.75">
      <c r="A10" s="50">
        <v>5</v>
      </c>
      <c r="B10" s="51" t="s">
        <v>11</v>
      </c>
      <c r="C10" s="51">
        <v>771</v>
      </c>
      <c r="D10" s="51">
        <v>460</v>
      </c>
      <c r="E10" s="51">
        <v>771</v>
      </c>
      <c r="F10" s="51">
        <v>460</v>
      </c>
      <c r="G10" s="51">
        <v>657</v>
      </c>
      <c r="H10" s="51">
        <v>460</v>
      </c>
      <c r="I10" s="51">
        <v>0</v>
      </c>
      <c r="J10" s="51">
        <v>0</v>
      </c>
      <c r="K10" s="190">
        <f t="shared" si="0"/>
        <v>0</v>
      </c>
      <c r="L10" s="190">
        <f t="shared" si="0"/>
        <v>0</v>
      </c>
      <c r="M10" s="51">
        <v>4312</v>
      </c>
      <c r="N10" s="51">
        <v>2016</v>
      </c>
      <c r="O10" s="51">
        <v>2001</v>
      </c>
      <c r="P10" s="51">
        <v>684</v>
      </c>
      <c r="Q10" s="7">
        <v>0</v>
      </c>
      <c r="R10" s="7"/>
      <c r="S10" s="7"/>
      <c r="V10" s="7"/>
    </row>
    <row r="11" spans="1:22" ht="12.75">
      <c r="A11" s="50">
        <v>6</v>
      </c>
      <c r="B11" s="51" t="s">
        <v>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190">
        <f t="shared" si="0"/>
        <v>0</v>
      </c>
      <c r="L11" s="190">
        <f t="shared" si="0"/>
        <v>0</v>
      </c>
      <c r="M11" s="51">
        <v>0</v>
      </c>
      <c r="N11" s="51">
        <v>0</v>
      </c>
      <c r="O11" s="51">
        <v>0</v>
      </c>
      <c r="P11" s="51">
        <v>0</v>
      </c>
      <c r="Q11" s="7"/>
      <c r="R11" s="7"/>
      <c r="S11" s="7"/>
      <c r="V11" s="7"/>
    </row>
    <row r="12" spans="1:22" s="103" customFormat="1" ht="12.75">
      <c r="A12" s="54">
        <v>7</v>
      </c>
      <c r="B12" s="57" t="s">
        <v>13</v>
      </c>
      <c r="C12" s="57">
        <v>905</v>
      </c>
      <c r="D12" s="57">
        <v>468</v>
      </c>
      <c r="E12" s="57">
        <v>881</v>
      </c>
      <c r="F12" s="57">
        <v>450</v>
      </c>
      <c r="G12" s="57">
        <v>735</v>
      </c>
      <c r="H12" s="57">
        <v>348</v>
      </c>
      <c r="I12" s="57">
        <v>0</v>
      </c>
      <c r="J12" s="57">
        <v>0</v>
      </c>
      <c r="K12" s="190">
        <f t="shared" si="0"/>
        <v>24</v>
      </c>
      <c r="L12" s="190">
        <f t="shared" si="0"/>
        <v>18</v>
      </c>
      <c r="M12" s="57">
        <v>18439</v>
      </c>
      <c r="N12" s="57">
        <v>6840</v>
      </c>
      <c r="O12" s="57">
        <v>5988</v>
      </c>
      <c r="P12" s="57">
        <v>2139</v>
      </c>
      <c r="Q12" s="19">
        <v>0</v>
      </c>
      <c r="R12" s="19"/>
      <c r="S12" s="19"/>
      <c r="T12" s="19"/>
      <c r="V12" s="19"/>
    </row>
    <row r="13" spans="1:22" s="103" customFormat="1" ht="12.75">
      <c r="A13" s="54">
        <v>8</v>
      </c>
      <c r="B13" s="57" t="s">
        <v>162</v>
      </c>
      <c r="C13" s="57">
        <v>21</v>
      </c>
      <c r="D13" s="57">
        <v>20</v>
      </c>
      <c r="E13" s="57">
        <v>21</v>
      </c>
      <c r="F13" s="57">
        <v>20</v>
      </c>
      <c r="G13" s="57">
        <v>21</v>
      </c>
      <c r="H13" s="57">
        <v>20</v>
      </c>
      <c r="I13" s="57">
        <v>0</v>
      </c>
      <c r="J13" s="57">
        <v>0</v>
      </c>
      <c r="K13" s="190">
        <f t="shared" si="0"/>
        <v>0</v>
      </c>
      <c r="L13" s="190">
        <f t="shared" si="0"/>
        <v>0</v>
      </c>
      <c r="M13" s="57">
        <v>64</v>
      </c>
      <c r="N13" s="57">
        <v>61</v>
      </c>
      <c r="O13" s="57">
        <v>0</v>
      </c>
      <c r="P13" s="57">
        <v>0</v>
      </c>
      <c r="Q13" s="19"/>
      <c r="R13" s="19"/>
      <c r="S13" s="19"/>
      <c r="T13" s="19"/>
      <c r="V13" s="19"/>
    </row>
    <row r="14" spans="1:22" ht="12.75">
      <c r="A14" s="50">
        <v>9</v>
      </c>
      <c r="B14" s="51" t="s">
        <v>14</v>
      </c>
      <c r="C14" s="51">
        <v>84</v>
      </c>
      <c r="D14" s="51">
        <v>74</v>
      </c>
      <c r="E14" s="51">
        <v>78</v>
      </c>
      <c r="F14" s="51">
        <v>71</v>
      </c>
      <c r="G14" s="51">
        <v>73</v>
      </c>
      <c r="H14" s="51">
        <v>69</v>
      </c>
      <c r="I14" s="51">
        <v>0</v>
      </c>
      <c r="J14" s="51">
        <v>0</v>
      </c>
      <c r="K14" s="190">
        <f t="shared" si="0"/>
        <v>6</v>
      </c>
      <c r="L14" s="190">
        <f t="shared" si="0"/>
        <v>3</v>
      </c>
      <c r="M14" s="51">
        <v>855</v>
      </c>
      <c r="N14" s="51">
        <v>579</v>
      </c>
      <c r="O14" s="51">
        <v>344</v>
      </c>
      <c r="P14" s="51">
        <v>170</v>
      </c>
      <c r="Q14" s="7"/>
      <c r="R14" s="7"/>
      <c r="S14" s="7"/>
      <c r="V14" s="7"/>
    </row>
    <row r="15" spans="1:22" ht="12.75">
      <c r="A15" s="50">
        <v>10</v>
      </c>
      <c r="B15" s="51" t="s">
        <v>15</v>
      </c>
      <c r="C15" s="51">
        <v>50</v>
      </c>
      <c r="D15" s="51">
        <v>12</v>
      </c>
      <c r="E15" s="51">
        <v>44</v>
      </c>
      <c r="F15" s="51">
        <v>12</v>
      </c>
      <c r="G15" s="51">
        <v>38</v>
      </c>
      <c r="H15" s="51">
        <v>9</v>
      </c>
      <c r="I15" s="51">
        <v>0</v>
      </c>
      <c r="J15" s="51">
        <v>0</v>
      </c>
      <c r="K15" s="190">
        <f t="shared" si="0"/>
        <v>6</v>
      </c>
      <c r="L15" s="190">
        <f t="shared" si="0"/>
        <v>0</v>
      </c>
      <c r="M15" s="51">
        <v>28</v>
      </c>
      <c r="N15" s="51">
        <v>11</v>
      </c>
      <c r="O15" s="51">
        <v>0</v>
      </c>
      <c r="P15" s="51">
        <v>0</v>
      </c>
      <c r="Q15" s="7"/>
      <c r="R15" s="7"/>
      <c r="S15" s="7"/>
      <c r="V15" s="7"/>
    </row>
    <row r="16" spans="1:22" ht="12.75">
      <c r="A16" s="50">
        <v>11</v>
      </c>
      <c r="B16" s="51" t="s">
        <v>16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190">
        <f t="shared" si="0"/>
        <v>0</v>
      </c>
      <c r="L16" s="190">
        <f t="shared" si="0"/>
        <v>0</v>
      </c>
      <c r="M16" s="51">
        <v>0</v>
      </c>
      <c r="N16" s="51">
        <v>0</v>
      </c>
      <c r="O16" s="51">
        <v>0</v>
      </c>
      <c r="P16" s="51">
        <v>0</v>
      </c>
      <c r="Q16" s="7">
        <v>0</v>
      </c>
      <c r="R16" s="7"/>
      <c r="S16" s="7"/>
      <c r="V16" s="7"/>
    </row>
    <row r="17" spans="1:22" ht="12.75">
      <c r="A17" s="50">
        <v>12</v>
      </c>
      <c r="B17" s="51" t="s">
        <v>17</v>
      </c>
      <c r="C17" s="51">
        <v>73</v>
      </c>
      <c r="D17" s="51">
        <v>102</v>
      </c>
      <c r="E17" s="51">
        <v>73</v>
      </c>
      <c r="F17" s="51">
        <v>102</v>
      </c>
      <c r="G17" s="51">
        <v>73</v>
      </c>
      <c r="H17" s="51">
        <v>102</v>
      </c>
      <c r="I17" s="51">
        <v>0</v>
      </c>
      <c r="J17" s="51">
        <v>0</v>
      </c>
      <c r="K17" s="190">
        <f t="shared" si="0"/>
        <v>0</v>
      </c>
      <c r="L17" s="190">
        <f t="shared" si="0"/>
        <v>0</v>
      </c>
      <c r="M17" s="51">
        <v>775</v>
      </c>
      <c r="N17" s="51">
        <v>827</v>
      </c>
      <c r="O17" s="51">
        <v>250</v>
      </c>
      <c r="P17" s="51">
        <v>90</v>
      </c>
      <c r="Q17" s="7">
        <v>0</v>
      </c>
      <c r="R17" s="7"/>
      <c r="S17" s="7"/>
      <c r="V17" s="7"/>
    </row>
    <row r="18" spans="1:22" ht="12.75">
      <c r="A18" s="50">
        <v>13</v>
      </c>
      <c r="B18" s="51" t="s">
        <v>164</v>
      </c>
      <c r="C18" s="51">
        <v>15</v>
      </c>
      <c r="D18" s="51">
        <v>20</v>
      </c>
      <c r="E18" s="51">
        <v>15</v>
      </c>
      <c r="F18" s="51">
        <v>20</v>
      </c>
      <c r="G18" s="51">
        <v>15</v>
      </c>
      <c r="H18" s="51">
        <v>14</v>
      </c>
      <c r="I18" s="51">
        <v>0</v>
      </c>
      <c r="J18" s="51">
        <v>0</v>
      </c>
      <c r="K18" s="190">
        <f t="shared" si="0"/>
        <v>0</v>
      </c>
      <c r="L18" s="190">
        <f t="shared" si="0"/>
        <v>0</v>
      </c>
      <c r="M18" s="51">
        <v>294</v>
      </c>
      <c r="N18" s="51">
        <v>188</v>
      </c>
      <c r="O18" s="51">
        <v>133</v>
      </c>
      <c r="P18" s="51">
        <v>95</v>
      </c>
      <c r="Q18" s="7">
        <v>0</v>
      </c>
      <c r="R18" s="7"/>
      <c r="S18" s="7"/>
      <c r="V18" s="7"/>
    </row>
    <row r="19" spans="1:22" ht="12.75">
      <c r="A19" s="50">
        <v>14</v>
      </c>
      <c r="B19" s="51" t="s">
        <v>77</v>
      </c>
      <c r="C19" s="51">
        <v>86</v>
      </c>
      <c r="D19" s="51">
        <v>115</v>
      </c>
      <c r="E19" s="51">
        <v>86</v>
      </c>
      <c r="F19" s="51">
        <v>115</v>
      </c>
      <c r="G19" s="51">
        <v>86</v>
      </c>
      <c r="H19" s="51">
        <v>108</v>
      </c>
      <c r="I19" s="51">
        <v>0</v>
      </c>
      <c r="J19" s="51">
        <v>0</v>
      </c>
      <c r="K19" s="190">
        <f t="shared" si="0"/>
        <v>0</v>
      </c>
      <c r="L19" s="190">
        <f t="shared" si="0"/>
        <v>0</v>
      </c>
      <c r="M19" s="51">
        <v>17663</v>
      </c>
      <c r="N19" s="51">
        <v>10580</v>
      </c>
      <c r="O19" s="51">
        <v>1056</v>
      </c>
      <c r="P19" s="51">
        <v>254</v>
      </c>
      <c r="Q19" s="7"/>
      <c r="R19" s="7"/>
      <c r="S19" s="7"/>
      <c r="V19" s="7"/>
    </row>
    <row r="20" spans="1:22" ht="12.75">
      <c r="A20" s="50">
        <v>15</v>
      </c>
      <c r="B20" s="51" t="s">
        <v>105</v>
      </c>
      <c r="C20" s="51">
        <v>116</v>
      </c>
      <c r="D20" s="51">
        <v>106</v>
      </c>
      <c r="E20" s="51">
        <v>116</v>
      </c>
      <c r="F20" s="51">
        <v>106</v>
      </c>
      <c r="G20" s="51">
        <v>116</v>
      </c>
      <c r="H20" s="51">
        <v>106</v>
      </c>
      <c r="I20" s="51">
        <v>0</v>
      </c>
      <c r="J20" s="51">
        <v>0</v>
      </c>
      <c r="K20" s="190">
        <f t="shared" si="0"/>
        <v>0</v>
      </c>
      <c r="L20" s="190">
        <f t="shared" si="0"/>
        <v>0</v>
      </c>
      <c r="M20" s="51">
        <v>1097</v>
      </c>
      <c r="N20" s="51">
        <v>993</v>
      </c>
      <c r="O20" s="51">
        <v>454</v>
      </c>
      <c r="P20" s="51">
        <v>500</v>
      </c>
      <c r="Q20" s="7">
        <v>0</v>
      </c>
      <c r="R20" s="7"/>
      <c r="S20" s="7"/>
      <c r="V20" s="7"/>
    </row>
    <row r="21" spans="1:22" s="103" customFormat="1" ht="12.75">
      <c r="A21" s="54">
        <v>16</v>
      </c>
      <c r="B21" s="57" t="s">
        <v>20</v>
      </c>
      <c r="C21" s="57">
        <v>141</v>
      </c>
      <c r="D21" s="57">
        <v>212</v>
      </c>
      <c r="E21" s="57">
        <v>141</v>
      </c>
      <c r="F21" s="57">
        <v>212</v>
      </c>
      <c r="G21" s="57">
        <v>141</v>
      </c>
      <c r="H21" s="57">
        <v>212</v>
      </c>
      <c r="I21" s="57">
        <v>0</v>
      </c>
      <c r="J21" s="57">
        <v>0</v>
      </c>
      <c r="K21" s="190">
        <f t="shared" si="0"/>
        <v>0</v>
      </c>
      <c r="L21" s="190">
        <f t="shared" si="0"/>
        <v>0</v>
      </c>
      <c r="M21" s="57">
        <v>5594</v>
      </c>
      <c r="N21" s="57">
        <v>2133</v>
      </c>
      <c r="O21" s="57">
        <v>1116</v>
      </c>
      <c r="P21" s="57">
        <v>859</v>
      </c>
      <c r="Q21" s="19"/>
      <c r="R21" s="19"/>
      <c r="S21" s="19"/>
      <c r="T21" s="19"/>
      <c r="V21" s="19"/>
    </row>
    <row r="22" spans="1:22" ht="12.75">
      <c r="A22" s="50">
        <v>17</v>
      </c>
      <c r="B22" s="51" t="s">
        <v>21</v>
      </c>
      <c r="C22" s="51">
        <v>542</v>
      </c>
      <c r="D22" s="51">
        <v>336</v>
      </c>
      <c r="E22" s="51">
        <v>514</v>
      </c>
      <c r="F22" s="51">
        <v>280</v>
      </c>
      <c r="G22" s="51">
        <v>514</v>
      </c>
      <c r="H22" s="51">
        <v>280</v>
      </c>
      <c r="I22" s="51">
        <v>25</v>
      </c>
      <c r="J22" s="51">
        <v>2</v>
      </c>
      <c r="K22" s="190">
        <f t="shared" si="0"/>
        <v>3</v>
      </c>
      <c r="L22" s="190">
        <f t="shared" si="0"/>
        <v>54</v>
      </c>
      <c r="M22" s="51">
        <v>9926</v>
      </c>
      <c r="N22" s="51">
        <v>5236</v>
      </c>
      <c r="O22" s="51">
        <v>1908</v>
      </c>
      <c r="P22" s="51">
        <v>571</v>
      </c>
      <c r="Q22" s="7"/>
      <c r="R22" s="7"/>
      <c r="S22" s="7"/>
      <c r="V22" s="7"/>
    </row>
    <row r="23" spans="1:22" ht="12.75">
      <c r="A23" s="50">
        <v>18</v>
      </c>
      <c r="B23" s="51" t="s">
        <v>19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190">
        <f t="shared" si="0"/>
        <v>0</v>
      </c>
      <c r="L23" s="190">
        <f t="shared" si="0"/>
        <v>0</v>
      </c>
      <c r="M23" s="51">
        <v>30</v>
      </c>
      <c r="N23" s="51">
        <v>12</v>
      </c>
      <c r="O23" s="51">
        <v>13</v>
      </c>
      <c r="P23" s="51">
        <v>4</v>
      </c>
      <c r="Q23" s="7"/>
      <c r="R23" s="7"/>
      <c r="S23" s="7"/>
      <c r="V23" s="7"/>
    </row>
    <row r="24" spans="1:22" ht="12.75">
      <c r="A24" s="50">
        <v>19</v>
      </c>
      <c r="B24" s="51" t="s">
        <v>124</v>
      </c>
      <c r="C24" s="51">
        <v>12</v>
      </c>
      <c r="D24" s="51">
        <v>12</v>
      </c>
      <c r="E24" s="51">
        <v>12</v>
      </c>
      <c r="F24" s="51">
        <v>12</v>
      </c>
      <c r="G24" s="51">
        <v>12</v>
      </c>
      <c r="H24" s="51">
        <v>12</v>
      </c>
      <c r="I24" s="51">
        <v>0</v>
      </c>
      <c r="J24" s="51">
        <v>0</v>
      </c>
      <c r="K24" s="190">
        <f t="shared" si="0"/>
        <v>0</v>
      </c>
      <c r="L24" s="190">
        <f t="shared" si="0"/>
        <v>0</v>
      </c>
      <c r="M24" s="51">
        <v>60</v>
      </c>
      <c r="N24" s="51">
        <v>63</v>
      </c>
      <c r="O24" s="51">
        <v>0</v>
      </c>
      <c r="P24" s="51">
        <v>0</v>
      </c>
      <c r="Q24" s="7">
        <v>0</v>
      </c>
      <c r="R24" s="7"/>
      <c r="S24" s="7"/>
      <c r="V24" s="7"/>
    </row>
    <row r="25" spans="1:22" s="165" customFormat="1" ht="14.25">
      <c r="A25" s="163"/>
      <c r="B25" s="128" t="s">
        <v>224</v>
      </c>
      <c r="C25" s="128">
        <f aca="true" t="shared" si="1" ref="C25:P25">SUM(C6:C24)</f>
        <v>3502</v>
      </c>
      <c r="D25" s="128">
        <f t="shared" si="1"/>
        <v>2228</v>
      </c>
      <c r="E25" s="128">
        <f t="shared" si="1"/>
        <v>3392</v>
      </c>
      <c r="F25" s="128">
        <f t="shared" si="1"/>
        <v>2128</v>
      </c>
      <c r="G25" s="128">
        <f t="shared" si="1"/>
        <v>3035</v>
      </c>
      <c r="H25" s="128">
        <f t="shared" si="1"/>
        <v>1907</v>
      </c>
      <c r="I25" s="128">
        <f t="shared" si="1"/>
        <v>68</v>
      </c>
      <c r="J25" s="128">
        <f t="shared" si="1"/>
        <v>20</v>
      </c>
      <c r="K25" s="197">
        <f aca="true" t="shared" si="2" ref="K25:K44">C25-E25-I25</f>
        <v>42</v>
      </c>
      <c r="L25" s="197">
        <f aca="true" t="shared" si="3" ref="L25:L33">D25-F25-J25</f>
        <v>80</v>
      </c>
      <c r="M25" s="128">
        <f t="shared" si="1"/>
        <v>86560</v>
      </c>
      <c r="N25" s="128">
        <f t="shared" si="1"/>
        <v>46453</v>
      </c>
      <c r="O25" s="128">
        <f t="shared" si="1"/>
        <v>22285</v>
      </c>
      <c r="P25" s="128">
        <f t="shared" si="1"/>
        <v>8349</v>
      </c>
      <c r="Q25" s="166"/>
      <c r="R25" s="166"/>
      <c r="S25" s="166"/>
      <c r="T25" s="166"/>
      <c r="V25" s="166"/>
    </row>
    <row r="26" spans="1:22" ht="12.75">
      <c r="A26" s="54">
        <v>20</v>
      </c>
      <c r="B26" s="51" t="s">
        <v>23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190">
        <f t="shared" si="0"/>
        <v>0</v>
      </c>
      <c r="L26" s="190">
        <f t="shared" si="3"/>
        <v>0</v>
      </c>
      <c r="M26" s="51">
        <v>8</v>
      </c>
      <c r="N26" s="51">
        <v>1</v>
      </c>
      <c r="O26" s="51">
        <v>0</v>
      </c>
      <c r="P26" s="51">
        <v>0</v>
      </c>
      <c r="Q26" s="7"/>
      <c r="R26" s="7"/>
      <c r="S26" s="7"/>
      <c r="V26" s="7"/>
    </row>
    <row r="27" spans="1:22" ht="12.75">
      <c r="A27" s="54">
        <v>21</v>
      </c>
      <c r="B27" s="51" t="s">
        <v>269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190">
        <f t="shared" si="0"/>
        <v>0</v>
      </c>
      <c r="L27" s="190">
        <f t="shared" si="3"/>
        <v>0</v>
      </c>
      <c r="M27" s="51">
        <v>39</v>
      </c>
      <c r="N27" s="51">
        <v>2</v>
      </c>
      <c r="O27" s="51">
        <v>0</v>
      </c>
      <c r="P27" s="51">
        <v>0</v>
      </c>
      <c r="Q27" s="7"/>
      <c r="R27" s="7"/>
      <c r="S27" s="7"/>
      <c r="V27" s="7"/>
    </row>
    <row r="28" spans="1:22" ht="12.75">
      <c r="A28" s="54">
        <v>22</v>
      </c>
      <c r="B28" s="51" t="s">
        <v>169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190">
        <f>C28-E28-I28</f>
        <v>0</v>
      </c>
      <c r="L28" s="190">
        <f t="shared" si="3"/>
        <v>0</v>
      </c>
      <c r="M28" s="51">
        <v>0</v>
      </c>
      <c r="N28" s="51">
        <v>0</v>
      </c>
      <c r="O28" s="51">
        <v>0</v>
      </c>
      <c r="P28" s="51">
        <v>0</v>
      </c>
      <c r="Q28" s="7"/>
      <c r="R28" s="7"/>
      <c r="S28" s="7"/>
      <c r="V28" s="7"/>
    </row>
    <row r="29" spans="1:22" ht="12.75">
      <c r="A29" s="54">
        <v>23</v>
      </c>
      <c r="B29" s="51" t="s">
        <v>22</v>
      </c>
      <c r="C29" s="51">
        <v>0</v>
      </c>
      <c r="D29" s="51">
        <v>0</v>
      </c>
      <c r="E29" s="51">
        <v>0</v>
      </c>
      <c r="F29" s="51">
        <v>0</v>
      </c>
      <c r="G29" s="51">
        <v>1</v>
      </c>
      <c r="H29" s="51">
        <v>0</v>
      </c>
      <c r="I29" s="51">
        <v>0</v>
      </c>
      <c r="J29" s="51">
        <v>0</v>
      </c>
      <c r="K29" s="190">
        <f>C29-E29-I29</f>
        <v>0</v>
      </c>
      <c r="L29" s="190">
        <f t="shared" si="3"/>
        <v>0</v>
      </c>
      <c r="M29" s="51">
        <v>41</v>
      </c>
      <c r="N29" s="51">
        <v>25</v>
      </c>
      <c r="O29" s="51">
        <v>12</v>
      </c>
      <c r="P29" s="51">
        <v>5</v>
      </c>
      <c r="Q29" s="7"/>
      <c r="R29" s="7"/>
      <c r="S29" s="7"/>
      <c r="V29" s="7"/>
    </row>
    <row r="30" spans="1:22" s="103" customFormat="1" ht="12.75">
      <c r="A30" s="54">
        <v>24</v>
      </c>
      <c r="B30" s="57" t="s">
        <v>141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65">
        <f>C30-E30-I30</f>
        <v>0</v>
      </c>
      <c r="L30" s="565">
        <f t="shared" si="3"/>
        <v>0</v>
      </c>
      <c r="M30" s="57">
        <v>80</v>
      </c>
      <c r="N30" s="57">
        <v>96</v>
      </c>
      <c r="O30" s="57">
        <v>7</v>
      </c>
      <c r="P30" s="57">
        <v>2</v>
      </c>
      <c r="Q30" s="19">
        <v>164.7</v>
      </c>
      <c r="R30" s="19"/>
      <c r="S30" s="20"/>
      <c r="T30" s="501"/>
      <c r="U30" s="105"/>
      <c r="V30" s="20"/>
    </row>
    <row r="31" spans="1:22" ht="12.75">
      <c r="A31" s="54">
        <v>25</v>
      </c>
      <c r="B31" s="51" t="s">
        <v>18</v>
      </c>
      <c r="C31" s="51">
        <v>986</v>
      </c>
      <c r="D31" s="51">
        <v>572</v>
      </c>
      <c r="E31" s="51">
        <v>914</v>
      </c>
      <c r="F31" s="51">
        <v>572</v>
      </c>
      <c r="G31" s="51">
        <v>910</v>
      </c>
      <c r="H31" s="51">
        <v>520</v>
      </c>
      <c r="I31" s="51">
        <v>20</v>
      </c>
      <c r="J31" s="51">
        <v>0</v>
      </c>
      <c r="K31" s="190">
        <f>C31-E31-I31</f>
        <v>52</v>
      </c>
      <c r="L31" s="190">
        <f t="shared" si="3"/>
        <v>0</v>
      </c>
      <c r="M31" s="51">
        <v>17456</v>
      </c>
      <c r="N31" s="51">
        <v>7776</v>
      </c>
      <c r="O31" s="51">
        <v>4312</v>
      </c>
      <c r="P31" s="51">
        <v>3653</v>
      </c>
      <c r="Q31" s="7">
        <v>0</v>
      </c>
      <c r="R31" s="7"/>
      <c r="S31" s="7"/>
      <c r="V31" s="7"/>
    </row>
    <row r="32" spans="1:22" ht="12.75">
      <c r="A32" s="54">
        <v>26</v>
      </c>
      <c r="B32" s="51" t="s">
        <v>104</v>
      </c>
      <c r="C32" s="51">
        <v>190</v>
      </c>
      <c r="D32" s="51">
        <v>285</v>
      </c>
      <c r="E32" s="51">
        <v>170</v>
      </c>
      <c r="F32" s="51">
        <v>264</v>
      </c>
      <c r="G32" s="51">
        <v>129</v>
      </c>
      <c r="H32" s="51">
        <v>210</v>
      </c>
      <c r="I32" s="51">
        <v>0</v>
      </c>
      <c r="J32" s="51">
        <v>0</v>
      </c>
      <c r="K32" s="190">
        <f t="shared" si="2"/>
        <v>20</v>
      </c>
      <c r="L32" s="190">
        <f t="shared" si="3"/>
        <v>21</v>
      </c>
      <c r="M32" s="51">
        <v>35292</v>
      </c>
      <c r="N32" s="51">
        <v>13614</v>
      </c>
      <c r="O32" s="51">
        <v>3968</v>
      </c>
      <c r="P32" s="51">
        <v>655</v>
      </c>
      <c r="Q32" s="7">
        <v>0</v>
      </c>
      <c r="R32" s="7"/>
      <c r="S32" s="7"/>
      <c r="V32" s="7"/>
    </row>
    <row r="33" spans="1:22" s="165" customFormat="1" ht="14.25">
      <c r="A33" s="163"/>
      <c r="B33" s="128" t="s">
        <v>226</v>
      </c>
      <c r="C33" s="128">
        <f aca="true" t="shared" si="4" ref="C33:P33">SUM(C26:C32)</f>
        <v>1176</v>
      </c>
      <c r="D33" s="128">
        <f t="shared" si="4"/>
        <v>857</v>
      </c>
      <c r="E33" s="128">
        <f t="shared" si="4"/>
        <v>1084</v>
      </c>
      <c r="F33" s="128">
        <f t="shared" si="4"/>
        <v>836</v>
      </c>
      <c r="G33" s="128">
        <f t="shared" si="4"/>
        <v>1040</v>
      </c>
      <c r="H33" s="128">
        <f t="shared" si="4"/>
        <v>730</v>
      </c>
      <c r="I33" s="128">
        <f t="shared" si="4"/>
        <v>20</v>
      </c>
      <c r="J33" s="128">
        <f t="shared" si="4"/>
        <v>0</v>
      </c>
      <c r="K33" s="197">
        <f t="shared" si="2"/>
        <v>72</v>
      </c>
      <c r="L33" s="197">
        <f t="shared" si="3"/>
        <v>21</v>
      </c>
      <c r="M33" s="128">
        <f t="shared" si="4"/>
        <v>52916</v>
      </c>
      <c r="N33" s="128">
        <f t="shared" si="4"/>
        <v>21514</v>
      </c>
      <c r="O33" s="128">
        <f t="shared" si="4"/>
        <v>8299</v>
      </c>
      <c r="P33" s="128">
        <f t="shared" si="4"/>
        <v>4315</v>
      </c>
      <c r="Q33" s="166"/>
      <c r="R33" s="166"/>
      <c r="S33" s="166"/>
      <c r="T33" s="166"/>
      <c r="V33" s="166"/>
    </row>
    <row r="34" spans="1:22" ht="12.75">
      <c r="A34" s="54">
        <v>27</v>
      </c>
      <c r="B34" s="51" t="s">
        <v>163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190">
        <f t="shared" si="2"/>
        <v>0</v>
      </c>
      <c r="L34" s="190">
        <f aca="true" t="shared" si="5" ref="L34:L46">D34-F34-J34</f>
        <v>0</v>
      </c>
      <c r="M34" s="51">
        <v>34</v>
      </c>
      <c r="N34" s="51">
        <v>25</v>
      </c>
      <c r="O34" s="51">
        <v>0</v>
      </c>
      <c r="P34" s="51">
        <v>0</v>
      </c>
      <c r="Q34" s="7">
        <v>0</v>
      </c>
      <c r="R34" s="7"/>
      <c r="S34" s="7"/>
      <c r="V34" s="7"/>
    </row>
    <row r="35" spans="1:22" s="103" customFormat="1" ht="12.75">
      <c r="A35" s="54">
        <v>28</v>
      </c>
      <c r="B35" s="57" t="s">
        <v>231</v>
      </c>
      <c r="C35" s="57">
        <v>0</v>
      </c>
      <c r="D35" s="57">
        <v>0</v>
      </c>
      <c r="E35" s="57">
        <v>0</v>
      </c>
      <c r="F35" s="57">
        <v>0</v>
      </c>
      <c r="G35" s="57">
        <v>12</v>
      </c>
      <c r="H35" s="57">
        <v>4</v>
      </c>
      <c r="I35" s="57">
        <v>0</v>
      </c>
      <c r="J35" s="57">
        <v>0</v>
      </c>
      <c r="K35" s="190">
        <f t="shared" si="2"/>
        <v>0</v>
      </c>
      <c r="L35" s="190">
        <f t="shared" si="5"/>
        <v>0</v>
      </c>
      <c r="M35" s="57">
        <v>161</v>
      </c>
      <c r="N35" s="57">
        <v>50</v>
      </c>
      <c r="O35" s="57">
        <v>0</v>
      </c>
      <c r="P35" s="57">
        <v>0</v>
      </c>
      <c r="Q35" s="19"/>
      <c r="R35" s="19"/>
      <c r="S35" s="19"/>
      <c r="T35" s="19"/>
      <c r="V35" s="19"/>
    </row>
    <row r="36" spans="1:22" ht="12.75">
      <c r="A36" s="54">
        <v>29</v>
      </c>
      <c r="B36" s="51" t="s">
        <v>218</v>
      </c>
      <c r="C36" s="51">
        <v>0</v>
      </c>
      <c r="D36" s="51">
        <v>0</v>
      </c>
      <c r="E36" s="51">
        <v>0</v>
      </c>
      <c r="F36" s="51">
        <v>0</v>
      </c>
      <c r="G36" s="51">
        <v>5</v>
      </c>
      <c r="H36" s="51">
        <v>16</v>
      </c>
      <c r="I36" s="51">
        <v>0</v>
      </c>
      <c r="J36" s="51">
        <v>0</v>
      </c>
      <c r="K36" s="190">
        <f t="shared" si="2"/>
        <v>0</v>
      </c>
      <c r="L36" s="190">
        <f t="shared" si="5"/>
        <v>0</v>
      </c>
      <c r="M36" s="51">
        <v>362</v>
      </c>
      <c r="N36" s="51">
        <v>1083</v>
      </c>
      <c r="O36" s="51">
        <v>0</v>
      </c>
      <c r="P36" s="51">
        <v>0</v>
      </c>
      <c r="Q36" s="7"/>
      <c r="R36" s="7"/>
      <c r="S36" s="7"/>
      <c r="V36" s="7"/>
    </row>
    <row r="37" spans="1:22" ht="12.75">
      <c r="A37" s="54">
        <v>30</v>
      </c>
      <c r="B37" s="51" t="s">
        <v>236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190">
        <f t="shared" si="2"/>
        <v>0</v>
      </c>
      <c r="L37" s="190">
        <f t="shared" si="5"/>
        <v>0</v>
      </c>
      <c r="M37" s="51">
        <v>13</v>
      </c>
      <c r="N37" s="51">
        <v>2</v>
      </c>
      <c r="O37" s="51">
        <v>13</v>
      </c>
      <c r="P37" s="51">
        <v>2</v>
      </c>
      <c r="Q37" s="7">
        <v>0</v>
      </c>
      <c r="R37" s="7"/>
      <c r="S37" s="7"/>
      <c r="V37" s="7"/>
    </row>
    <row r="38" spans="1:22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190">
        <f t="shared" si="2"/>
        <v>0</v>
      </c>
      <c r="L38" s="190">
        <f t="shared" si="5"/>
        <v>0</v>
      </c>
      <c r="M38" s="57">
        <v>0</v>
      </c>
      <c r="N38" s="57">
        <v>0</v>
      </c>
      <c r="O38" s="57">
        <v>0</v>
      </c>
      <c r="P38" s="57">
        <v>0</v>
      </c>
      <c r="Q38" s="19">
        <v>0</v>
      </c>
      <c r="R38" s="19"/>
      <c r="S38" s="19"/>
      <c r="T38" s="19"/>
      <c r="V38" s="19"/>
    </row>
    <row r="39" spans="1:22" ht="12.75">
      <c r="A39" s="54">
        <v>32</v>
      </c>
      <c r="B39" s="51" t="s">
        <v>220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190">
        <f t="shared" si="2"/>
        <v>0</v>
      </c>
      <c r="L39" s="190">
        <f t="shared" si="5"/>
        <v>0</v>
      </c>
      <c r="M39" s="51">
        <v>0</v>
      </c>
      <c r="N39" s="51">
        <v>0</v>
      </c>
      <c r="O39" s="51">
        <v>0</v>
      </c>
      <c r="P39" s="51">
        <v>0</v>
      </c>
      <c r="Q39" s="7"/>
      <c r="R39" s="7"/>
      <c r="S39" s="7"/>
      <c r="V39" s="7"/>
    </row>
    <row r="40" spans="1:22" ht="12.75">
      <c r="A40" s="110">
        <v>33</v>
      </c>
      <c r="B40" s="113" t="s">
        <v>363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190">
        <f t="shared" si="2"/>
        <v>0</v>
      </c>
      <c r="L40" s="190">
        <f t="shared" si="5"/>
        <v>0</v>
      </c>
      <c r="M40" s="51">
        <v>0</v>
      </c>
      <c r="N40" s="51">
        <v>0</v>
      </c>
      <c r="O40" s="51">
        <v>0</v>
      </c>
      <c r="P40" s="51">
        <v>0</v>
      </c>
      <c r="Q40" s="7"/>
      <c r="R40" s="7"/>
      <c r="S40" s="7"/>
      <c r="V40" s="7"/>
    </row>
    <row r="41" spans="1:22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65">
        <f t="shared" si="2"/>
        <v>0</v>
      </c>
      <c r="L41" s="565">
        <f t="shared" si="5"/>
        <v>0</v>
      </c>
      <c r="M41" s="57">
        <v>0</v>
      </c>
      <c r="N41" s="57">
        <v>0</v>
      </c>
      <c r="O41" s="57">
        <v>0</v>
      </c>
      <c r="P41" s="57">
        <v>0</v>
      </c>
      <c r="Q41" s="19"/>
      <c r="R41" s="19"/>
      <c r="S41" s="19"/>
      <c r="T41" s="19"/>
      <c r="V41" s="19"/>
    </row>
    <row r="42" spans="1:22" ht="12.75">
      <c r="A42" s="54">
        <v>35</v>
      </c>
      <c r="B42" s="51" t="s">
        <v>256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190">
        <f t="shared" si="2"/>
        <v>0</v>
      </c>
      <c r="L42" s="190">
        <f t="shared" si="5"/>
        <v>0</v>
      </c>
      <c r="M42" s="51">
        <v>0</v>
      </c>
      <c r="N42" s="51">
        <v>0</v>
      </c>
      <c r="O42" s="51">
        <v>0</v>
      </c>
      <c r="P42" s="51">
        <v>0</v>
      </c>
      <c r="Q42" s="7">
        <v>0</v>
      </c>
      <c r="R42" s="7"/>
      <c r="S42" s="7"/>
      <c r="V42" s="7"/>
    </row>
    <row r="43" spans="1:22" ht="12.75">
      <c r="A43" s="54">
        <v>36</v>
      </c>
      <c r="B43" s="51" t="s">
        <v>24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190">
        <f t="shared" si="2"/>
        <v>0</v>
      </c>
      <c r="L43" s="190">
        <f t="shared" si="5"/>
        <v>0</v>
      </c>
      <c r="M43" s="51">
        <v>3</v>
      </c>
      <c r="N43" s="51">
        <v>8</v>
      </c>
      <c r="O43" s="51">
        <v>0</v>
      </c>
      <c r="P43" s="51">
        <v>0</v>
      </c>
      <c r="Q43" s="7">
        <v>64.48</v>
      </c>
      <c r="R43" s="7"/>
      <c r="S43" s="7"/>
      <c r="V43" s="7"/>
    </row>
    <row r="44" spans="1:22" ht="12.75">
      <c r="A44" s="54">
        <v>37</v>
      </c>
      <c r="B44" s="51" t="s">
        <v>223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190">
        <f t="shared" si="2"/>
        <v>0</v>
      </c>
      <c r="L44" s="190">
        <f t="shared" si="5"/>
        <v>0</v>
      </c>
      <c r="M44" s="51">
        <v>0</v>
      </c>
      <c r="N44" s="51">
        <v>0</v>
      </c>
      <c r="O44" s="51">
        <v>0</v>
      </c>
      <c r="P44" s="51">
        <v>0</v>
      </c>
      <c r="Q44" s="7">
        <v>0</v>
      </c>
      <c r="R44" s="7"/>
      <c r="S44" s="7"/>
      <c r="V44" s="7"/>
    </row>
    <row r="45" spans="1:22" ht="12.75">
      <c r="A45" s="54">
        <v>38</v>
      </c>
      <c r="B45" s="51" t="s">
        <v>364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190">
        <f>C45-E45-I45</f>
        <v>0</v>
      </c>
      <c r="L45" s="190">
        <f>D45-F45-J45</f>
        <v>0</v>
      </c>
      <c r="M45" s="51">
        <v>0</v>
      </c>
      <c r="N45" s="51">
        <v>0</v>
      </c>
      <c r="O45" s="51">
        <v>0</v>
      </c>
      <c r="P45" s="51">
        <v>0</v>
      </c>
      <c r="Q45" s="7"/>
      <c r="R45" s="7"/>
      <c r="S45" s="7"/>
      <c r="V45" s="7"/>
    </row>
    <row r="46" spans="1:22" ht="12.75">
      <c r="A46" s="54">
        <v>39</v>
      </c>
      <c r="B46" s="57" t="s">
        <v>366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190">
        <f>C46-E46-I46</f>
        <v>0</v>
      </c>
      <c r="L46" s="190">
        <f t="shared" si="5"/>
        <v>0</v>
      </c>
      <c r="M46" s="51">
        <v>0</v>
      </c>
      <c r="N46" s="51">
        <v>0</v>
      </c>
      <c r="O46" s="51">
        <v>0</v>
      </c>
      <c r="P46" s="51">
        <v>0</v>
      </c>
      <c r="Q46" s="7"/>
      <c r="R46" s="7"/>
      <c r="S46" s="6"/>
      <c r="V46" s="7"/>
    </row>
    <row r="47" spans="1:22" s="165" customFormat="1" ht="14.25">
      <c r="A47" s="163"/>
      <c r="B47" s="128" t="s">
        <v>225</v>
      </c>
      <c r="C47" s="128">
        <f>SUM(C34:C46)</f>
        <v>0</v>
      </c>
      <c r="D47" s="128">
        <f aca="true" t="shared" si="6" ref="D47:J47">SUM(D34:D46)</f>
        <v>0</v>
      </c>
      <c r="E47" s="128">
        <f t="shared" si="6"/>
        <v>0</v>
      </c>
      <c r="F47" s="128">
        <f t="shared" si="6"/>
        <v>0</v>
      </c>
      <c r="G47" s="128">
        <f t="shared" si="6"/>
        <v>17</v>
      </c>
      <c r="H47" s="128">
        <f t="shared" si="6"/>
        <v>20</v>
      </c>
      <c r="I47" s="128">
        <f t="shared" si="6"/>
        <v>0</v>
      </c>
      <c r="J47" s="128">
        <f t="shared" si="6"/>
        <v>0</v>
      </c>
      <c r="K47" s="128">
        <f aca="true" t="shared" si="7" ref="K47:Q47">SUM(K34:K46)</f>
        <v>0</v>
      </c>
      <c r="L47" s="128">
        <f t="shared" si="7"/>
        <v>0</v>
      </c>
      <c r="M47" s="128">
        <f t="shared" si="7"/>
        <v>573</v>
      </c>
      <c r="N47" s="128">
        <f t="shared" si="7"/>
        <v>1168</v>
      </c>
      <c r="O47" s="128">
        <f t="shared" si="7"/>
        <v>13</v>
      </c>
      <c r="P47" s="128">
        <f t="shared" si="7"/>
        <v>2</v>
      </c>
      <c r="Q47" s="128">
        <f t="shared" si="7"/>
        <v>64.48</v>
      </c>
      <c r="R47" s="166"/>
      <c r="S47" s="167"/>
      <c r="T47" s="166"/>
      <c r="V47" s="166"/>
    </row>
    <row r="48" spans="1:22" s="165" customFormat="1" ht="14.25">
      <c r="A48" s="163"/>
      <c r="B48" s="87" t="s">
        <v>123</v>
      </c>
      <c r="C48" s="128">
        <f aca="true" t="shared" si="8" ref="C48:P48">C25+C33+C47</f>
        <v>4678</v>
      </c>
      <c r="D48" s="128">
        <f t="shared" si="8"/>
        <v>3085</v>
      </c>
      <c r="E48" s="128">
        <f t="shared" si="8"/>
        <v>4476</v>
      </c>
      <c r="F48" s="128">
        <f t="shared" si="8"/>
        <v>2964</v>
      </c>
      <c r="G48" s="128">
        <f t="shared" si="8"/>
        <v>4092</v>
      </c>
      <c r="H48" s="128">
        <f t="shared" si="8"/>
        <v>2657</v>
      </c>
      <c r="I48" s="128">
        <f t="shared" si="8"/>
        <v>88</v>
      </c>
      <c r="J48" s="128">
        <f t="shared" si="8"/>
        <v>20</v>
      </c>
      <c r="K48" s="197">
        <f t="shared" si="8"/>
        <v>114</v>
      </c>
      <c r="L48" s="197">
        <f t="shared" si="8"/>
        <v>101</v>
      </c>
      <c r="M48" s="128">
        <f t="shared" si="8"/>
        <v>140049</v>
      </c>
      <c r="N48" s="128">
        <f t="shared" si="8"/>
        <v>69135</v>
      </c>
      <c r="O48" s="128">
        <f t="shared" si="8"/>
        <v>30597</v>
      </c>
      <c r="P48" s="128">
        <f t="shared" si="8"/>
        <v>12666</v>
      </c>
      <c r="Q48" s="167"/>
      <c r="R48" s="167"/>
      <c r="S48" s="167"/>
      <c r="T48" s="166"/>
      <c r="V48" s="166"/>
    </row>
    <row r="49" spans="2:22" ht="12.75">
      <c r="B49" s="16"/>
      <c r="C49" s="16"/>
      <c r="Q49" s="8"/>
      <c r="R49" s="8"/>
      <c r="S49" s="8"/>
      <c r="T49" s="8"/>
      <c r="U49" s="2"/>
      <c r="V49" s="8"/>
    </row>
    <row r="50" spans="2:22" ht="12.75">
      <c r="B50" s="16"/>
      <c r="C50" s="16"/>
      <c r="Q50" s="8"/>
      <c r="R50" s="8"/>
      <c r="S50" s="8"/>
      <c r="T50" s="8"/>
      <c r="U50" s="2"/>
      <c r="V50" s="8"/>
    </row>
    <row r="51" spans="2:22" ht="12.75">
      <c r="B51" s="16"/>
      <c r="C51" s="16"/>
      <c r="Q51" s="8"/>
      <c r="R51" s="8"/>
      <c r="S51" s="8"/>
      <c r="T51" s="8"/>
      <c r="U51" s="2"/>
      <c r="V51" s="8"/>
    </row>
    <row r="52" spans="1:22" ht="18" customHeight="1">
      <c r="A52" s="25" t="s">
        <v>4</v>
      </c>
      <c r="B52" s="25" t="s">
        <v>5</v>
      </c>
      <c r="C52" s="620" t="s">
        <v>152</v>
      </c>
      <c r="D52" s="605"/>
      <c r="E52" s="620" t="s">
        <v>151</v>
      </c>
      <c r="F52" s="605"/>
      <c r="G52" s="620" t="s">
        <v>153</v>
      </c>
      <c r="H52" s="605"/>
      <c r="I52" s="606" t="s">
        <v>154</v>
      </c>
      <c r="J52" s="607"/>
      <c r="K52" s="608" t="s">
        <v>155</v>
      </c>
      <c r="L52" s="609"/>
      <c r="M52" s="620" t="s">
        <v>94</v>
      </c>
      <c r="N52" s="605"/>
      <c r="O52" s="620" t="s">
        <v>156</v>
      </c>
      <c r="P52" s="605"/>
      <c r="Q52" s="8"/>
      <c r="R52" s="8"/>
      <c r="S52" s="8"/>
      <c r="T52" s="8"/>
      <c r="U52" s="2"/>
      <c r="V52" s="8"/>
    </row>
    <row r="53" spans="1:22" ht="12.75">
      <c r="A53" s="70"/>
      <c r="B53" s="70"/>
      <c r="C53" s="80" t="s">
        <v>57</v>
      </c>
      <c r="D53" s="80" t="s">
        <v>63</v>
      </c>
      <c r="E53" s="80" t="s">
        <v>57</v>
      </c>
      <c r="F53" s="80" t="s">
        <v>63</v>
      </c>
      <c r="G53" s="80" t="s">
        <v>57</v>
      </c>
      <c r="H53" s="80" t="s">
        <v>63</v>
      </c>
      <c r="I53" s="80" t="s">
        <v>57</v>
      </c>
      <c r="J53" s="80" t="s">
        <v>63</v>
      </c>
      <c r="K53" s="269" t="s">
        <v>57</v>
      </c>
      <c r="L53" s="269" t="s">
        <v>63</v>
      </c>
      <c r="M53" s="80" t="s">
        <v>57</v>
      </c>
      <c r="N53" s="80" t="s">
        <v>63</v>
      </c>
      <c r="O53" s="80" t="s">
        <v>57</v>
      </c>
      <c r="P53" s="80" t="s">
        <v>63</v>
      </c>
      <c r="Q53" s="8"/>
      <c r="R53" s="8"/>
      <c r="S53" s="8"/>
      <c r="T53" s="8"/>
      <c r="U53" s="2"/>
      <c r="V53" s="8"/>
    </row>
    <row r="54" spans="1:16" ht="15" customHeight="1">
      <c r="A54" s="54">
        <v>40</v>
      </c>
      <c r="B54" s="57" t="s">
        <v>78</v>
      </c>
      <c r="C54" s="51">
        <v>2681</v>
      </c>
      <c r="D54" s="51">
        <v>927</v>
      </c>
      <c r="E54" s="51">
        <v>2564</v>
      </c>
      <c r="F54" s="51">
        <v>848</v>
      </c>
      <c r="G54" s="51">
        <v>2564</v>
      </c>
      <c r="H54" s="51">
        <v>848</v>
      </c>
      <c r="I54" s="51">
        <v>23</v>
      </c>
      <c r="J54" s="51">
        <v>13</v>
      </c>
      <c r="K54" s="190">
        <f aca="true" t="shared" si="9" ref="K54:K61">C54-E54-I54</f>
        <v>94</v>
      </c>
      <c r="L54" s="190">
        <f aca="true" t="shared" si="10" ref="L54:L61">D54-F54-J54</f>
        <v>66</v>
      </c>
      <c r="M54" s="51">
        <v>13520</v>
      </c>
      <c r="N54" s="51">
        <v>3785</v>
      </c>
      <c r="O54" s="51">
        <v>0</v>
      </c>
      <c r="P54" s="51">
        <v>0</v>
      </c>
    </row>
    <row r="55" spans="1:16" ht="15" customHeight="1">
      <c r="A55" s="54">
        <v>41</v>
      </c>
      <c r="B55" s="57" t="s">
        <v>278</v>
      </c>
      <c r="C55" s="51">
        <v>813</v>
      </c>
      <c r="D55" s="51">
        <v>1578</v>
      </c>
      <c r="E55" s="51">
        <v>788</v>
      </c>
      <c r="F55" s="51">
        <v>1560</v>
      </c>
      <c r="G55" s="51">
        <v>788</v>
      </c>
      <c r="H55" s="51">
        <v>1560</v>
      </c>
      <c r="I55" s="51">
        <v>25</v>
      </c>
      <c r="J55" s="51">
        <v>18</v>
      </c>
      <c r="K55" s="190">
        <f t="shared" si="9"/>
        <v>0</v>
      </c>
      <c r="L55" s="190">
        <f t="shared" si="10"/>
        <v>0</v>
      </c>
      <c r="M55" s="51">
        <v>12063</v>
      </c>
      <c r="N55" s="51">
        <v>5665</v>
      </c>
      <c r="O55" s="51">
        <v>1282</v>
      </c>
      <c r="P55" s="51">
        <v>712</v>
      </c>
    </row>
    <row r="56" spans="1:16" ht="15" customHeight="1">
      <c r="A56" s="54">
        <v>42</v>
      </c>
      <c r="B56" s="57" t="s">
        <v>30</v>
      </c>
      <c r="C56" s="51">
        <v>6</v>
      </c>
      <c r="D56" s="51">
        <v>5</v>
      </c>
      <c r="E56" s="51">
        <v>6</v>
      </c>
      <c r="F56" s="51">
        <v>5</v>
      </c>
      <c r="G56" s="51">
        <v>6</v>
      </c>
      <c r="H56" s="51">
        <v>5</v>
      </c>
      <c r="I56" s="51">
        <v>0</v>
      </c>
      <c r="J56" s="51">
        <v>0</v>
      </c>
      <c r="K56" s="190">
        <f t="shared" si="9"/>
        <v>0</v>
      </c>
      <c r="L56" s="190">
        <f t="shared" si="10"/>
        <v>0</v>
      </c>
      <c r="M56" s="51">
        <v>1463</v>
      </c>
      <c r="N56" s="51">
        <v>642</v>
      </c>
      <c r="O56" s="51">
        <v>0</v>
      </c>
      <c r="P56" s="51">
        <v>71</v>
      </c>
    </row>
    <row r="57" spans="1:16" ht="15" customHeight="1">
      <c r="A57" s="54">
        <v>43</v>
      </c>
      <c r="B57" s="57" t="s">
        <v>234</v>
      </c>
      <c r="C57" s="51">
        <v>504</v>
      </c>
      <c r="D57" s="51">
        <v>245</v>
      </c>
      <c r="E57" s="51">
        <v>503</v>
      </c>
      <c r="F57" s="51">
        <v>244</v>
      </c>
      <c r="G57" s="51">
        <v>503</v>
      </c>
      <c r="H57" s="51">
        <v>244</v>
      </c>
      <c r="I57" s="51">
        <v>1</v>
      </c>
      <c r="J57" s="51">
        <v>1</v>
      </c>
      <c r="K57" s="190">
        <f t="shared" si="9"/>
        <v>0</v>
      </c>
      <c r="L57" s="190">
        <f t="shared" si="10"/>
        <v>0</v>
      </c>
      <c r="M57" s="51">
        <v>18123</v>
      </c>
      <c r="N57" s="51">
        <v>4639</v>
      </c>
      <c r="O57" s="51">
        <v>79</v>
      </c>
      <c r="P57" s="51">
        <v>33</v>
      </c>
    </row>
    <row r="58" spans="1:16" ht="15" customHeight="1">
      <c r="A58" s="54">
        <v>44</v>
      </c>
      <c r="B58" s="57" t="s">
        <v>29</v>
      </c>
      <c r="C58" s="51">
        <v>61</v>
      </c>
      <c r="D58" s="51">
        <v>52</v>
      </c>
      <c r="E58" s="51">
        <v>61</v>
      </c>
      <c r="F58" s="51">
        <v>52</v>
      </c>
      <c r="G58" s="51">
        <v>61</v>
      </c>
      <c r="H58" s="51">
        <v>52</v>
      </c>
      <c r="I58" s="51">
        <v>0</v>
      </c>
      <c r="J58" s="51">
        <v>0</v>
      </c>
      <c r="K58" s="190">
        <f t="shared" si="9"/>
        <v>0</v>
      </c>
      <c r="L58" s="190">
        <f t="shared" si="10"/>
        <v>0</v>
      </c>
      <c r="M58" s="51">
        <v>3069</v>
      </c>
      <c r="N58" s="51">
        <v>570</v>
      </c>
      <c r="O58" s="51">
        <v>0</v>
      </c>
      <c r="P58" s="51">
        <v>0</v>
      </c>
    </row>
    <row r="59" spans="1:16" ht="15" customHeight="1">
      <c r="A59" s="54">
        <v>45</v>
      </c>
      <c r="B59" s="57" t="s">
        <v>391</v>
      </c>
      <c r="C59" s="51">
        <v>2337</v>
      </c>
      <c r="D59" s="51">
        <v>1529</v>
      </c>
      <c r="E59" s="51">
        <v>2268</v>
      </c>
      <c r="F59" s="51">
        <v>1447</v>
      </c>
      <c r="G59" s="51">
        <v>2261</v>
      </c>
      <c r="H59" s="51">
        <v>1445</v>
      </c>
      <c r="I59" s="51">
        <v>30</v>
      </c>
      <c r="J59" s="51">
        <v>33</v>
      </c>
      <c r="K59" s="190">
        <f t="shared" si="9"/>
        <v>39</v>
      </c>
      <c r="L59" s="190">
        <f t="shared" si="10"/>
        <v>49</v>
      </c>
      <c r="M59" s="51">
        <v>27590</v>
      </c>
      <c r="N59" s="51">
        <v>11728</v>
      </c>
      <c r="O59" s="51">
        <v>1653</v>
      </c>
      <c r="P59" s="51">
        <v>491</v>
      </c>
    </row>
    <row r="60" spans="1:16" ht="15" customHeight="1">
      <c r="A60" s="54">
        <v>46</v>
      </c>
      <c r="B60" s="57" t="s">
        <v>25</v>
      </c>
      <c r="C60" s="51">
        <v>159</v>
      </c>
      <c r="D60" s="51">
        <v>86</v>
      </c>
      <c r="E60" s="51">
        <v>159</v>
      </c>
      <c r="F60" s="51">
        <v>86</v>
      </c>
      <c r="G60" s="51">
        <v>159</v>
      </c>
      <c r="H60" s="51">
        <v>86</v>
      </c>
      <c r="I60" s="51">
        <v>0</v>
      </c>
      <c r="J60" s="51">
        <v>0</v>
      </c>
      <c r="K60" s="190">
        <f t="shared" si="9"/>
        <v>0</v>
      </c>
      <c r="L60" s="190">
        <f t="shared" si="10"/>
        <v>0</v>
      </c>
      <c r="M60" s="51">
        <v>1921</v>
      </c>
      <c r="N60" s="51">
        <v>520</v>
      </c>
      <c r="O60" s="51">
        <v>618</v>
      </c>
      <c r="P60" s="51">
        <v>71</v>
      </c>
    </row>
    <row r="61" spans="1:16" ht="15" customHeight="1">
      <c r="A61" s="54">
        <v>47</v>
      </c>
      <c r="B61" s="57" t="s">
        <v>28</v>
      </c>
      <c r="C61" s="51">
        <v>11</v>
      </c>
      <c r="D61" s="51">
        <v>3</v>
      </c>
      <c r="E61" s="51">
        <v>11</v>
      </c>
      <c r="F61" s="51">
        <v>3</v>
      </c>
      <c r="G61" s="51">
        <v>11</v>
      </c>
      <c r="H61" s="51">
        <v>3</v>
      </c>
      <c r="I61" s="51">
        <v>0</v>
      </c>
      <c r="J61" s="51">
        <v>0</v>
      </c>
      <c r="K61" s="190">
        <f t="shared" si="9"/>
        <v>0</v>
      </c>
      <c r="L61" s="190">
        <f t="shared" si="10"/>
        <v>0</v>
      </c>
      <c r="M61" s="51">
        <v>21</v>
      </c>
      <c r="N61" s="51">
        <v>60</v>
      </c>
      <c r="O61" s="51">
        <v>0</v>
      </c>
      <c r="P61" s="51">
        <v>0</v>
      </c>
    </row>
    <row r="62" spans="1:20" s="165" customFormat="1" ht="15" customHeight="1">
      <c r="A62" s="54"/>
      <c r="B62" s="87" t="s">
        <v>123</v>
      </c>
      <c r="C62" s="128">
        <f aca="true" t="shared" si="11" ref="C62:P62">SUM(C54:C61)</f>
        <v>6572</v>
      </c>
      <c r="D62" s="128">
        <f t="shared" si="11"/>
        <v>4425</v>
      </c>
      <c r="E62" s="128">
        <f t="shared" si="11"/>
        <v>6360</v>
      </c>
      <c r="F62" s="128">
        <f t="shared" si="11"/>
        <v>4245</v>
      </c>
      <c r="G62" s="128">
        <f t="shared" si="11"/>
        <v>6353</v>
      </c>
      <c r="H62" s="128">
        <f t="shared" si="11"/>
        <v>4243</v>
      </c>
      <c r="I62" s="128">
        <f t="shared" si="11"/>
        <v>79</v>
      </c>
      <c r="J62" s="128">
        <f t="shared" si="11"/>
        <v>65</v>
      </c>
      <c r="K62" s="197">
        <f t="shared" si="11"/>
        <v>133</v>
      </c>
      <c r="L62" s="197">
        <f t="shared" si="11"/>
        <v>115</v>
      </c>
      <c r="M62" s="128">
        <f t="shared" si="11"/>
        <v>77770</v>
      </c>
      <c r="N62" s="128">
        <f t="shared" si="11"/>
        <v>27609</v>
      </c>
      <c r="O62" s="128">
        <f t="shared" si="11"/>
        <v>3632</v>
      </c>
      <c r="P62" s="128">
        <f t="shared" si="11"/>
        <v>1378</v>
      </c>
      <c r="Q62" s="167"/>
      <c r="R62" s="167"/>
      <c r="T62" s="166"/>
    </row>
    <row r="63" spans="1:16" ht="15" customHeight="1">
      <c r="A63" s="54"/>
      <c r="B63" t="s">
        <v>36</v>
      </c>
      <c r="C63" s="51"/>
      <c r="D63" s="51"/>
      <c r="E63" s="51"/>
      <c r="F63" s="51"/>
      <c r="G63" s="51"/>
      <c r="H63" s="51"/>
      <c r="I63" s="51"/>
      <c r="J63" s="51"/>
      <c r="K63" s="190"/>
      <c r="L63" s="190"/>
      <c r="M63" s="51"/>
      <c r="N63" s="51"/>
      <c r="O63" s="51"/>
      <c r="P63" s="51"/>
    </row>
    <row r="64" spans="1:16" ht="15" customHeight="1">
      <c r="A64" s="54">
        <v>48</v>
      </c>
      <c r="B64" s="51" t="s">
        <v>34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190">
        <f>C64-E64-I64</f>
        <v>0</v>
      </c>
      <c r="L64" s="190">
        <f>D64-F64-J64</f>
        <v>0</v>
      </c>
      <c r="M64" s="51">
        <v>90987</v>
      </c>
      <c r="N64" s="51">
        <v>10463</v>
      </c>
      <c r="O64" s="51">
        <v>0</v>
      </c>
      <c r="P64" s="51">
        <v>0</v>
      </c>
    </row>
    <row r="65" spans="1:16" ht="15" customHeight="1">
      <c r="A65" s="54">
        <v>49</v>
      </c>
      <c r="B65" s="51" t="s">
        <v>130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190">
        <f>C65-E65-I65</f>
        <v>0</v>
      </c>
      <c r="L65" s="190">
        <f>D65-F65-J65</f>
        <v>0</v>
      </c>
      <c r="M65" s="51">
        <v>69477</v>
      </c>
      <c r="N65" s="51">
        <v>16085</v>
      </c>
      <c r="O65" s="51">
        <v>0</v>
      </c>
      <c r="P65" s="51">
        <v>0</v>
      </c>
    </row>
    <row r="66" spans="1:20" s="165" customFormat="1" ht="15" customHeight="1">
      <c r="A66" s="163"/>
      <c r="B66" s="87" t="s">
        <v>123</v>
      </c>
      <c r="C66" s="128">
        <f aca="true" t="shared" si="12" ref="C66:M66">SUM(C64:C65)</f>
        <v>0</v>
      </c>
      <c r="D66" s="128">
        <f t="shared" si="12"/>
        <v>0</v>
      </c>
      <c r="E66" s="128">
        <f t="shared" si="12"/>
        <v>0</v>
      </c>
      <c r="F66" s="128">
        <f t="shared" si="12"/>
        <v>0</v>
      </c>
      <c r="G66" s="128">
        <f t="shared" si="12"/>
        <v>0</v>
      </c>
      <c r="H66" s="128">
        <f t="shared" si="12"/>
        <v>0</v>
      </c>
      <c r="I66" s="128">
        <f t="shared" si="12"/>
        <v>0</v>
      </c>
      <c r="J66" s="128">
        <f t="shared" si="12"/>
        <v>0</v>
      </c>
      <c r="K66" s="197">
        <f t="shared" si="12"/>
        <v>0</v>
      </c>
      <c r="L66" s="197">
        <f t="shared" si="12"/>
        <v>0</v>
      </c>
      <c r="M66" s="164">
        <f t="shared" si="12"/>
        <v>160464</v>
      </c>
      <c r="N66" s="128">
        <f>SUM(N64:N65)</f>
        <v>26548</v>
      </c>
      <c r="O66" s="128">
        <f>SUM(O64:O65)</f>
        <v>0</v>
      </c>
      <c r="P66" s="128">
        <f>SUM(P64:P65)</f>
        <v>0</v>
      </c>
      <c r="Q66" s="167"/>
      <c r="R66" s="167"/>
      <c r="T66" s="166"/>
    </row>
    <row r="67" spans="1:20" s="165" customFormat="1" ht="15" customHeight="1">
      <c r="A67" s="163"/>
      <c r="B67" s="87" t="s">
        <v>35</v>
      </c>
      <c r="C67" s="128">
        <f aca="true" t="shared" si="13" ref="C67:P67">+C48+C62+C66</f>
        <v>11250</v>
      </c>
      <c r="D67" s="128">
        <f t="shared" si="13"/>
        <v>7510</v>
      </c>
      <c r="E67" s="128">
        <f t="shared" si="13"/>
        <v>10836</v>
      </c>
      <c r="F67" s="128">
        <f t="shared" si="13"/>
        <v>7209</v>
      </c>
      <c r="G67" s="128">
        <f t="shared" si="13"/>
        <v>10445</v>
      </c>
      <c r="H67" s="128">
        <f t="shared" si="13"/>
        <v>6900</v>
      </c>
      <c r="I67" s="128">
        <f t="shared" si="13"/>
        <v>167</v>
      </c>
      <c r="J67" s="128">
        <f t="shared" si="13"/>
        <v>85</v>
      </c>
      <c r="K67" s="197">
        <f t="shared" si="13"/>
        <v>247</v>
      </c>
      <c r="L67" s="197">
        <f t="shared" si="13"/>
        <v>216</v>
      </c>
      <c r="M67" s="128">
        <f t="shared" si="13"/>
        <v>378283</v>
      </c>
      <c r="N67" s="128">
        <f t="shared" si="13"/>
        <v>123292</v>
      </c>
      <c r="O67" s="128">
        <f t="shared" si="13"/>
        <v>34229</v>
      </c>
      <c r="P67" s="128">
        <f t="shared" si="13"/>
        <v>14044</v>
      </c>
      <c r="Q67" s="167"/>
      <c r="R67" s="167"/>
      <c r="T67" s="166"/>
    </row>
    <row r="70" spans="3:4" ht="12.75">
      <c r="C70" s="6">
        <v>15</v>
      </c>
      <c r="D70" s="6" t="s">
        <v>382</v>
      </c>
    </row>
  </sheetData>
  <sheetProtection/>
  <mergeCells count="14">
    <mergeCell ref="C4:D4"/>
    <mergeCell ref="C52:D52"/>
    <mergeCell ref="E4:F4"/>
    <mergeCell ref="O4:P4"/>
    <mergeCell ref="G4:H4"/>
    <mergeCell ref="I4:J4"/>
    <mergeCell ref="K4:L4"/>
    <mergeCell ref="M4:N4"/>
    <mergeCell ref="M52:N52"/>
    <mergeCell ref="O52:P52"/>
    <mergeCell ref="E52:F52"/>
    <mergeCell ref="G52:H52"/>
    <mergeCell ref="I52:J52"/>
    <mergeCell ref="K52:L52"/>
  </mergeCells>
  <printOptions gridLines="1" horizontalCentered="1"/>
  <pageMargins left="0.75" right="0.75" top="0.59" bottom="0.66" header="0.5" footer="0.5"/>
  <pageSetup blackAndWhite="1" horizontalDpi="300" verticalDpi="300" orientation="landscape" paperSize="9" scale="78" r:id="rId2"/>
  <rowBreaks count="1" manualBreakCount="1">
    <brk id="48" max="1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C1">
      <selection activeCell="A68" sqref="A68"/>
    </sheetView>
  </sheetViews>
  <sheetFormatPr defaultColWidth="9.140625" defaultRowHeight="12.75"/>
  <cols>
    <col min="1" max="1" width="3.7109375" style="117" customWidth="1"/>
    <col min="2" max="2" width="24.8515625" style="117" customWidth="1"/>
    <col min="3" max="3" width="13.00390625" style="127" customWidth="1"/>
    <col min="4" max="6" width="14.140625" style="127" customWidth="1"/>
    <col min="7" max="7" width="14.7109375" style="127" customWidth="1"/>
    <col min="8" max="8" width="14.8515625" style="127" customWidth="1"/>
    <col min="9" max="9" width="13.8515625" style="127" customWidth="1"/>
    <col min="10" max="16384" width="9.140625" style="117" customWidth="1"/>
  </cols>
  <sheetData>
    <row r="1" spans="1:7" ht="15">
      <c r="A1" s="335"/>
      <c r="B1" s="335"/>
      <c r="C1" s="291"/>
      <c r="D1" s="294"/>
      <c r="E1" s="294"/>
      <c r="F1" s="294"/>
      <c r="G1" s="294"/>
    </row>
    <row r="2" spans="1:6" ht="12.75">
      <c r="A2" s="292"/>
      <c r="B2" s="292"/>
      <c r="C2" s="293"/>
      <c r="D2" s="291"/>
      <c r="F2" s="291"/>
    </row>
    <row r="3" spans="4:6" ht="15">
      <c r="D3" s="294"/>
      <c r="F3" s="294"/>
    </row>
    <row r="4" spans="1:7" ht="12.75">
      <c r="A4" s="292"/>
      <c r="B4" s="292"/>
      <c r="C4" s="293"/>
      <c r="D4" s="369"/>
      <c r="E4" s="369"/>
      <c r="F4" s="369"/>
      <c r="G4" s="369"/>
    </row>
    <row r="5" spans="1:9" ht="18" customHeight="1">
      <c r="A5" s="352" t="s">
        <v>4</v>
      </c>
      <c r="B5" s="352" t="s">
        <v>5</v>
      </c>
      <c r="C5" s="282" t="s">
        <v>170</v>
      </c>
      <c r="D5" s="358" t="s">
        <v>165</v>
      </c>
      <c r="E5" s="358" t="s">
        <v>166</v>
      </c>
      <c r="F5" s="516" t="s">
        <v>167</v>
      </c>
      <c r="G5" s="282" t="s">
        <v>168</v>
      </c>
      <c r="H5" s="278" t="s">
        <v>192</v>
      </c>
      <c r="I5" s="278" t="s">
        <v>198</v>
      </c>
    </row>
    <row r="6" spans="1:9" ht="12.75">
      <c r="A6" s="331"/>
      <c r="B6" s="331"/>
      <c r="C6" s="517" t="s">
        <v>423</v>
      </c>
      <c r="D6" s="633"/>
      <c r="E6" s="634"/>
      <c r="F6" s="635"/>
      <c r="G6" s="517" t="s">
        <v>426</v>
      </c>
      <c r="H6" s="357" t="s">
        <v>191</v>
      </c>
      <c r="I6" s="357" t="s">
        <v>199</v>
      </c>
    </row>
    <row r="7" spans="1:9" ht="12.75">
      <c r="A7" s="115"/>
      <c r="B7" s="115"/>
      <c r="C7" s="116"/>
      <c r="D7" s="116"/>
      <c r="E7" s="116"/>
      <c r="F7" s="116"/>
      <c r="G7" s="358" t="s">
        <v>63</v>
      </c>
      <c r="H7" s="121" t="s">
        <v>257</v>
      </c>
      <c r="I7" s="121" t="s">
        <v>257</v>
      </c>
    </row>
    <row r="8" spans="1:9" ht="12.75" customHeight="1">
      <c r="A8" s="115">
        <v>1</v>
      </c>
      <c r="B8" s="116" t="s">
        <v>7</v>
      </c>
      <c r="C8" s="116">
        <v>12000</v>
      </c>
      <c r="D8" s="116">
        <v>10154</v>
      </c>
      <c r="E8" s="116">
        <v>3358</v>
      </c>
      <c r="F8" s="116">
        <v>3143</v>
      </c>
      <c r="G8" s="116">
        <v>63097</v>
      </c>
      <c r="H8" s="116">
        <v>101342</v>
      </c>
      <c r="I8" s="116">
        <v>87154</v>
      </c>
    </row>
    <row r="9" spans="1:9" ht="12.75" customHeight="1">
      <c r="A9" s="115">
        <v>2</v>
      </c>
      <c r="B9" s="116" t="s">
        <v>8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</row>
    <row r="10" spans="1:9" ht="12.75" customHeight="1">
      <c r="A10" s="115">
        <v>3</v>
      </c>
      <c r="B10" s="116" t="s">
        <v>9</v>
      </c>
      <c r="C10" s="116">
        <v>5000</v>
      </c>
      <c r="D10" s="116">
        <v>1742</v>
      </c>
      <c r="E10" s="116">
        <v>1894</v>
      </c>
      <c r="F10" s="116">
        <v>1894</v>
      </c>
      <c r="G10" s="116">
        <v>20156</v>
      </c>
      <c r="H10" s="116">
        <v>17702</v>
      </c>
      <c r="I10" s="116">
        <v>17702</v>
      </c>
    </row>
    <row r="11" spans="1:9" ht="12.75" customHeight="1">
      <c r="A11" s="115">
        <v>4</v>
      </c>
      <c r="B11" s="116" t="s">
        <v>10</v>
      </c>
      <c r="C11" s="116">
        <v>27000</v>
      </c>
      <c r="D11" s="116">
        <v>24266</v>
      </c>
      <c r="E11" s="116">
        <v>39467</v>
      </c>
      <c r="F11" s="116">
        <v>32223</v>
      </c>
      <c r="G11" s="116">
        <v>165563</v>
      </c>
      <c r="H11" s="116">
        <v>162558</v>
      </c>
      <c r="I11" s="116">
        <v>162558</v>
      </c>
    </row>
    <row r="12" spans="1:9" ht="12.75" customHeight="1">
      <c r="A12" s="115">
        <v>5</v>
      </c>
      <c r="B12" s="116" t="s">
        <v>11</v>
      </c>
      <c r="C12" s="116">
        <v>7000</v>
      </c>
      <c r="D12" s="116">
        <v>8069</v>
      </c>
      <c r="E12" s="116">
        <v>5511</v>
      </c>
      <c r="F12" s="116">
        <v>1605</v>
      </c>
      <c r="G12" s="116">
        <v>6013</v>
      </c>
      <c r="H12" s="116">
        <v>22187</v>
      </c>
      <c r="I12" s="116">
        <v>11241</v>
      </c>
    </row>
    <row r="13" spans="1:9" ht="12.75" customHeight="1">
      <c r="A13" s="115">
        <v>6</v>
      </c>
      <c r="B13" s="116" t="s">
        <v>12</v>
      </c>
      <c r="C13" s="116">
        <v>2000</v>
      </c>
      <c r="D13" s="116">
        <v>1602</v>
      </c>
      <c r="E13" s="116">
        <v>1602</v>
      </c>
      <c r="F13" s="116">
        <v>1492</v>
      </c>
      <c r="G13" s="116">
        <v>3420</v>
      </c>
      <c r="H13" s="116">
        <v>3419</v>
      </c>
      <c r="I13" s="116">
        <v>3215</v>
      </c>
    </row>
    <row r="14" spans="1:9" s="103" customFormat="1" ht="12.75" customHeight="1">
      <c r="A14" s="54">
        <v>7</v>
      </c>
      <c r="B14" s="57" t="s">
        <v>13</v>
      </c>
      <c r="C14" s="57">
        <v>30000</v>
      </c>
      <c r="D14" s="57">
        <v>34383</v>
      </c>
      <c r="E14" s="57">
        <v>30874</v>
      </c>
      <c r="F14" s="57">
        <v>25814</v>
      </c>
      <c r="G14" s="57">
        <v>98354</v>
      </c>
      <c r="H14" s="57">
        <v>185347</v>
      </c>
      <c r="I14" s="57">
        <v>156375</v>
      </c>
    </row>
    <row r="15" spans="1:9" s="103" customFormat="1" ht="12.75" customHeight="1">
      <c r="A15" s="54">
        <v>8</v>
      </c>
      <c r="B15" s="57" t="s">
        <v>162</v>
      </c>
      <c r="C15" s="57">
        <v>0</v>
      </c>
      <c r="D15" s="57">
        <v>33</v>
      </c>
      <c r="E15" s="57">
        <v>34</v>
      </c>
      <c r="F15" s="57">
        <v>33</v>
      </c>
      <c r="G15" s="57">
        <v>34</v>
      </c>
      <c r="H15" s="57">
        <v>134</v>
      </c>
      <c r="I15" s="57">
        <v>130</v>
      </c>
    </row>
    <row r="16" spans="1:9" ht="12.75" customHeight="1">
      <c r="A16" s="115">
        <v>9</v>
      </c>
      <c r="B16" s="116" t="s">
        <v>14</v>
      </c>
      <c r="C16" s="116">
        <v>1500</v>
      </c>
      <c r="D16" s="116">
        <v>655</v>
      </c>
      <c r="E16" s="116">
        <v>957</v>
      </c>
      <c r="F16" s="116">
        <v>655</v>
      </c>
      <c r="G16" s="116">
        <v>957</v>
      </c>
      <c r="H16" s="116">
        <v>2714</v>
      </c>
      <c r="I16" s="116">
        <v>2714</v>
      </c>
    </row>
    <row r="17" spans="1:9" ht="12.75" customHeight="1">
      <c r="A17" s="115">
        <v>10</v>
      </c>
      <c r="B17" s="116" t="s">
        <v>15</v>
      </c>
      <c r="C17" s="116">
        <v>450</v>
      </c>
      <c r="D17" s="116">
        <v>148</v>
      </c>
      <c r="E17" s="116">
        <v>125</v>
      </c>
      <c r="F17" s="116">
        <v>290</v>
      </c>
      <c r="G17" s="116">
        <v>939</v>
      </c>
      <c r="H17" s="116">
        <v>518</v>
      </c>
      <c r="I17" s="116">
        <v>175</v>
      </c>
    </row>
    <row r="18" spans="1:9" ht="12.75" customHeight="1">
      <c r="A18" s="115">
        <v>11</v>
      </c>
      <c r="B18" s="116" t="s">
        <v>16</v>
      </c>
      <c r="C18" s="116">
        <v>100</v>
      </c>
      <c r="D18" s="116">
        <v>4</v>
      </c>
      <c r="E18" s="116">
        <v>1</v>
      </c>
      <c r="F18" s="116">
        <v>1</v>
      </c>
      <c r="G18" s="116">
        <v>13</v>
      </c>
      <c r="H18" s="116">
        <v>23</v>
      </c>
      <c r="I18" s="116">
        <v>23</v>
      </c>
    </row>
    <row r="19" spans="1:9" ht="12.75" customHeight="1">
      <c r="A19" s="115">
        <v>12</v>
      </c>
      <c r="B19" s="116" t="s">
        <v>17</v>
      </c>
      <c r="C19" s="116">
        <v>1500</v>
      </c>
      <c r="D19" s="116">
        <v>634</v>
      </c>
      <c r="E19" s="116">
        <v>876</v>
      </c>
      <c r="F19" s="116">
        <v>876</v>
      </c>
      <c r="G19" s="116">
        <v>816</v>
      </c>
      <c r="H19" s="116">
        <v>5799</v>
      </c>
      <c r="I19" s="116">
        <v>4966</v>
      </c>
    </row>
    <row r="20" spans="1:9" ht="12.75" customHeight="1">
      <c r="A20" s="115">
        <v>13</v>
      </c>
      <c r="B20" s="116" t="s">
        <v>164</v>
      </c>
      <c r="C20" s="116">
        <v>2000</v>
      </c>
      <c r="D20" s="116">
        <v>254</v>
      </c>
      <c r="E20" s="116">
        <v>326</v>
      </c>
      <c r="F20" s="116">
        <v>283</v>
      </c>
      <c r="G20" s="116">
        <v>2581</v>
      </c>
      <c r="H20" s="116">
        <v>3311</v>
      </c>
      <c r="I20" s="116">
        <v>866</v>
      </c>
    </row>
    <row r="21" spans="1:9" ht="12.75" customHeight="1">
      <c r="A21" s="115">
        <v>14</v>
      </c>
      <c r="B21" s="116" t="s">
        <v>77</v>
      </c>
      <c r="C21" s="116">
        <v>15000</v>
      </c>
      <c r="D21" s="116">
        <v>15111</v>
      </c>
      <c r="E21" s="116">
        <v>15644</v>
      </c>
      <c r="F21" s="116">
        <v>12861</v>
      </c>
      <c r="G21" s="116">
        <v>62758</v>
      </c>
      <c r="H21" s="116">
        <v>98733</v>
      </c>
      <c r="I21" s="116">
        <v>69131</v>
      </c>
    </row>
    <row r="22" spans="1:9" ht="12.75" customHeight="1">
      <c r="A22" s="115">
        <v>15</v>
      </c>
      <c r="B22" s="116" t="s">
        <v>105</v>
      </c>
      <c r="C22" s="116">
        <v>1000</v>
      </c>
      <c r="D22" s="116">
        <v>778</v>
      </c>
      <c r="E22" s="116">
        <v>694</v>
      </c>
      <c r="F22" s="116">
        <v>694</v>
      </c>
      <c r="G22" s="116">
        <v>1180</v>
      </c>
      <c r="H22" s="116">
        <v>1842</v>
      </c>
      <c r="I22" s="116">
        <v>1689</v>
      </c>
    </row>
    <row r="23" spans="1:9" s="103" customFormat="1" ht="12.75" customHeight="1">
      <c r="A23" s="54">
        <v>16</v>
      </c>
      <c r="B23" s="57" t="s">
        <v>20</v>
      </c>
      <c r="C23" s="57">
        <v>7500</v>
      </c>
      <c r="D23" s="57">
        <v>6075</v>
      </c>
      <c r="E23" s="57">
        <v>9113</v>
      </c>
      <c r="F23" s="57">
        <v>7291</v>
      </c>
      <c r="G23" s="57">
        <v>80542</v>
      </c>
      <c r="H23" s="57">
        <v>77327</v>
      </c>
      <c r="I23" s="57">
        <v>59993</v>
      </c>
    </row>
    <row r="24" spans="1:9" ht="12.75" customHeight="1">
      <c r="A24" s="115">
        <v>17</v>
      </c>
      <c r="B24" s="116" t="s">
        <v>21</v>
      </c>
      <c r="C24" s="116">
        <v>9000</v>
      </c>
      <c r="D24" s="116">
        <v>7487</v>
      </c>
      <c r="E24" s="116">
        <v>5654</v>
      </c>
      <c r="F24" s="116">
        <v>5619</v>
      </c>
      <c r="G24" s="116">
        <v>106829</v>
      </c>
      <c r="H24" s="116">
        <v>106829</v>
      </c>
      <c r="I24" s="116">
        <v>0</v>
      </c>
    </row>
    <row r="25" spans="1:9" ht="12.75" customHeight="1">
      <c r="A25" s="115">
        <v>18</v>
      </c>
      <c r="B25" s="116" t="s">
        <v>19</v>
      </c>
      <c r="C25" s="116">
        <v>0</v>
      </c>
      <c r="D25" s="116">
        <v>5</v>
      </c>
      <c r="E25" s="116">
        <v>10</v>
      </c>
      <c r="F25" s="116">
        <v>8</v>
      </c>
      <c r="G25" s="116">
        <v>8</v>
      </c>
      <c r="H25" s="116">
        <v>5</v>
      </c>
      <c r="I25" s="116">
        <v>0</v>
      </c>
    </row>
    <row r="26" spans="1:9" ht="12.75" customHeight="1">
      <c r="A26" s="115">
        <v>19</v>
      </c>
      <c r="B26" s="116" t="s">
        <v>124</v>
      </c>
      <c r="C26" s="116">
        <v>100</v>
      </c>
      <c r="D26" s="116">
        <v>92</v>
      </c>
      <c r="E26" s="116">
        <v>185</v>
      </c>
      <c r="F26" s="116">
        <v>142</v>
      </c>
      <c r="G26" s="116">
        <v>196</v>
      </c>
      <c r="H26" s="116">
        <v>367</v>
      </c>
      <c r="I26" s="116">
        <v>0</v>
      </c>
    </row>
    <row r="27" spans="1:9" s="334" customFormat="1" ht="12.75" customHeight="1">
      <c r="A27" s="325"/>
      <c r="B27" s="326" t="s">
        <v>224</v>
      </c>
      <c r="C27" s="326">
        <f aca="true" t="shared" si="0" ref="C27:I27">SUM(C8:C26)</f>
        <v>121150</v>
      </c>
      <c r="D27" s="326">
        <f>SUM(D8:D26)</f>
        <v>111492</v>
      </c>
      <c r="E27" s="326">
        <f t="shared" si="0"/>
        <v>116325</v>
      </c>
      <c r="F27" s="326">
        <f t="shared" si="0"/>
        <v>94924</v>
      </c>
      <c r="G27" s="326">
        <f t="shared" si="0"/>
        <v>613456</v>
      </c>
      <c r="H27" s="326">
        <f t="shared" si="0"/>
        <v>790157</v>
      </c>
      <c r="I27" s="326">
        <f t="shared" si="0"/>
        <v>577932</v>
      </c>
    </row>
    <row r="28" spans="1:9" ht="12.75" customHeight="1">
      <c r="A28" s="54">
        <v>20</v>
      </c>
      <c r="B28" s="116" t="s">
        <v>23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</row>
    <row r="29" spans="1:9" ht="12.75" customHeight="1">
      <c r="A29" s="54">
        <v>21</v>
      </c>
      <c r="B29" s="116" t="s">
        <v>269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</row>
    <row r="30" spans="1:9" ht="12.75" customHeight="1">
      <c r="A30" s="54">
        <v>22</v>
      </c>
      <c r="B30" s="116" t="s">
        <v>169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</row>
    <row r="31" spans="1:9" ht="12.75" customHeight="1">
      <c r="A31" s="54">
        <v>23</v>
      </c>
      <c r="B31" s="116" t="s">
        <v>22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</row>
    <row r="32" spans="1:9" s="103" customFormat="1" ht="12.75" customHeight="1">
      <c r="A32" s="54">
        <v>24</v>
      </c>
      <c r="B32" s="57" t="s">
        <v>141</v>
      </c>
      <c r="C32" s="57">
        <v>100</v>
      </c>
      <c r="D32" s="57">
        <v>0</v>
      </c>
      <c r="E32" s="57">
        <v>0</v>
      </c>
      <c r="F32" s="57">
        <v>0</v>
      </c>
      <c r="G32" s="57">
        <v>0</v>
      </c>
      <c r="H32" s="57">
        <v>1</v>
      </c>
      <c r="I32" s="57">
        <v>1</v>
      </c>
    </row>
    <row r="33" spans="1:9" ht="12.75" customHeight="1">
      <c r="A33" s="54">
        <v>25</v>
      </c>
      <c r="B33" s="116" t="s">
        <v>18</v>
      </c>
      <c r="C33" s="116">
        <v>72000</v>
      </c>
      <c r="D33" s="116">
        <v>65198</v>
      </c>
      <c r="E33" s="116">
        <v>75810</v>
      </c>
      <c r="F33" s="547">
        <v>75810</v>
      </c>
      <c r="G33" s="116">
        <v>338990</v>
      </c>
      <c r="H33" s="116">
        <v>475122</v>
      </c>
      <c r="I33" s="116">
        <v>329370</v>
      </c>
    </row>
    <row r="34" spans="1:9" ht="12.75" customHeight="1">
      <c r="A34" s="54">
        <v>26</v>
      </c>
      <c r="B34" s="116" t="s">
        <v>104</v>
      </c>
      <c r="C34" s="116">
        <v>38500</v>
      </c>
      <c r="D34" s="116">
        <v>17297</v>
      </c>
      <c r="E34" s="116">
        <v>21268</v>
      </c>
      <c r="F34" s="116">
        <v>20420</v>
      </c>
      <c r="G34" s="116">
        <v>135246</v>
      </c>
      <c r="H34" s="116">
        <v>298765</v>
      </c>
      <c r="I34" s="116">
        <v>298765</v>
      </c>
    </row>
    <row r="35" spans="1:9" s="334" customFormat="1" ht="12.75" customHeight="1">
      <c r="A35" s="325"/>
      <c r="B35" s="326" t="s">
        <v>226</v>
      </c>
      <c r="C35" s="326">
        <f aca="true" t="shared" si="1" ref="C35:I35">SUM(C28:C34)</f>
        <v>110600</v>
      </c>
      <c r="D35" s="326">
        <f>SUM(D28:D34)</f>
        <v>82495</v>
      </c>
      <c r="E35" s="326">
        <f t="shared" si="1"/>
        <v>97078</v>
      </c>
      <c r="F35" s="326">
        <f t="shared" si="1"/>
        <v>96230</v>
      </c>
      <c r="G35" s="326">
        <f t="shared" si="1"/>
        <v>474236</v>
      </c>
      <c r="H35" s="326">
        <f t="shared" si="1"/>
        <v>773888</v>
      </c>
      <c r="I35" s="326">
        <f t="shared" si="1"/>
        <v>628136</v>
      </c>
    </row>
    <row r="36" spans="1:9" ht="12.75" customHeight="1">
      <c r="A36" s="54">
        <v>27</v>
      </c>
      <c r="B36" s="116" t="s">
        <v>163</v>
      </c>
      <c r="C36" s="116">
        <v>275</v>
      </c>
      <c r="D36" s="116">
        <v>188</v>
      </c>
      <c r="E36" s="116">
        <v>228</v>
      </c>
      <c r="F36" s="116">
        <v>228</v>
      </c>
      <c r="G36" s="116">
        <v>728</v>
      </c>
      <c r="H36" s="116">
        <v>692</v>
      </c>
      <c r="I36" s="116">
        <v>1014</v>
      </c>
    </row>
    <row r="37" spans="1:9" s="103" customFormat="1" ht="12.75" customHeight="1">
      <c r="A37" s="54">
        <v>28</v>
      </c>
      <c r="B37" s="57" t="s">
        <v>231</v>
      </c>
      <c r="C37" s="57">
        <v>0</v>
      </c>
      <c r="D37" s="57">
        <v>254</v>
      </c>
      <c r="E37" s="57">
        <v>502</v>
      </c>
      <c r="F37" s="57">
        <v>502</v>
      </c>
      <c r="G37" s="57">
        <v>1453</v>
      </c>
      <c r="H37" s="57">
        <v>1453</v>
      </c>
      <c r="I37" s="57">
        <v>0</v>
      </c>
    </row>
    <row r="38" spans="1:9" ht="12.75" customHeight="1">
      <c r="A38" s="54">
        <v>29</v>
      </c>
      <c r="B38" s="116" t="s">
        <v>218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</row>
    <row r="39" spans="1:9" ht="12.75" customHeight="1">
      <c r="A39" s="54">
        <v>30</v>
      </c>
      <c r="B39" s="116" t="s">
        <v>236</v>
      </c>
      <c r="C39" s="116">
        <v>22</v>
      </c>
      <c r="D39" s="116">
        <v>19</v>
      </c>
      <c r="E39" s="116">
        <v>21</v>
      </c>
      <c r="F39" s="116">
        <v>21</v>
      </c>
      <c r="G39" s="116">
        <v>26</v>
      </c>
      <c r="H39" s="116">
        <v>72</v>
      </c>
      <c r="I39" s="116">
        <v>0</v>
      </c>
    </row>
    <row r="40" spans="1:9" s="103" customFormat="1" ht="12.75" customHeight="1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ht="12.75" customHeight="1">
      <c r="A41" s="54">
        <v>32</v>
      </c>
      <c r="B41" s="116" t="s">
        <v>220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</row>
    <row r="42" spans="1:9" ht="12.75" customHeight="1">
      <c r="A42" s="110">
        <v>33</v>
      </c>
      <c r="B42" s="149" t="s">
        <v>363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</row>
    <row r="43" spans="1:9" s="103" customFormat="1" ht="12.75" customHeight="1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</row>
    <row r="44" spans="1:9" ht="12.75" customHeight="1">
      <c r="A44" s="54">
        <v>35</v>
      </c>
      <c r="B44" s="116" t="s">
        <v>256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</row>
    <row r="45" spans="1:9" ht="12.75" customHeight="1">
      <c r="A45" s="54">
        <v>36</v>
      </c>
      <c r="B45" s="116" t="s">
        <v>24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</row>
    <row r="46" spans="1:9" ht="12.75" customHeight="1">
      <c r="A46" s="54">
        <v>37</v>
      </c>
      <c r="B46" s="116" t="s">
        <v>223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</row>
    <row r="47" spans="1:9" ht="12.75" customHeight="1">
      <c r="A47" s="54">
        <v>38</v>
      </c>
      <c r="B47" s="116" t="s">
        <v>364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</row>
    <row r="48" spans="1:9" ht="12.75" customHeight="1">
      <c r="A48" s="54">
        <v>39</v>
      </c>
      <c r="B48" s="116" t="s">
        <v>366</v>
      </c>
      <c r="C48" s="116">
        <v>0</v>
      </c>
      <c r="D48" s="116">
        <v>14</v>
      </c>
      <c r="E48" s="116">
        <v>46</v>
      </c>
      <c r="F48" s="116">
        <v>46</v>
      </c>
      <c r="G48" s="116">
        <v>322</v>
      </c>
      <c r="H48" s="116">
        <v>236</v>
      </c>
      <c r="I48" s="116">
        <v>0</v>
      </c>
    </row>
    <row r="49" spans="1:9" s="334" customFormat="1" ht="13.5" customHeight="1">
      <c r="A49" s="325"/>
      <c r="B49" s="326" t="s">
        <v>225</v>
      </c>
      <c r="C49" s="326">
        <f aca="true" t="shared" si="2" ref="C49:I49">SUM(C36:C48)</f>
        <v>297</v>
      </c>
      <c r="D49" s="326">
        <f t="shared" si="2"/>
        <v>475</v>
      </c>
      <c r="E49" s="326">
        <f t="shared" si="2"/>
        <v>797</v>
      </c>
      <c r="F49" s="326">
        <f t="shared" si="2"/>
        <v>797</v>
      </c>
      <c r="G49" s="326">
        <f t="shared" si="2"/>
        <v>2529</v>
      </c>
      <c r="H49" s="326">
        <f t="shared" si="2"/>
        <v>2453</v>
      </c>
      <c r="I49" s="326">
        <f t="shared" si="2"/>
        <v>1014</v>
      </c>
    </row>
    <row r="50" spans="1:9" s="334" customFormat="1" ht="15" customHeight="1">
      <c r="A50" s="325"/>
      <c r="B50" s="328" t="s">
        <v>123</v>
      </c>
      <c r="C50" s="326">
        <f aca="true" t="shared" si="3" ref="C50:I50">C27+C35+C49</f>
        <v>232047</v>
      </c>
      <c r="D50" s="326">
        <f t="shared" si="3"/>
        <v>194462</v>
      </c>
      <c r="E50" s="326">
        <f t="shared" si="3"/>
        <v>214200</v>
      </c>
      <c r="F50" s="326">
        <f t="shared" si="3"/>
        <v>191951</v>
      </c>
      <c r="G50" s="326">
        <f t="shared" si="3"/>
        <v>1090221</v>
      </c>
      <c r="H50" s="326">
        <f t="shared" si="3"/>
        <v>1566498</v>
      </c>
      <c r="I50" s="326">
        <f t="shared" si="3"/>
        <v>1207082</v>
      </c>
    </row>
    <row r="51" spans="1:9" ht="12.75" customHeight="1">
      <c r="A51" s="119"/>
      <c r="B51" s="120"/>
      <c r="C51" s="277"/>
      <c r="D51" s="277"/>
      <c r="E51" s="277"/>
      <c r="F51" s="277"/>
      <c r="G51" s="277"/>
      <c r="H51" s="148"/>
      <c r="I51" s="148"/>
    </row>
    <row r="52" spans="1:9" ht="12.75" customHeight="1">
      <c r="A52" s="119"/>
      <c r="B52" s="120"/>
      <c r="C52" s="277"/>
      <c r="D52" s="277"/>
      <c r="E52" s="277"/>
      <c r="F52" s="277"/>
      <c r="G52" s="277"/>
      <c r="H52" s="148"/>
      <c r="I52" s="148"/>
    </row>
    <row r="53" spans="1:9" ht="12.75" customHeight="1">
      <c r="A53" s="119"/>
      <c r="B53" s="119"/>
      <c r="C53" s="148"/>
      <c r="D53" s="148"/>
      <c r="E53" s="148"/>
      <c r="F53" s="148"/>
      <c r="G53" s="148"/>
      <c r="H53" s="148"/>
      <c r="I53" s="148"/>
    </row>
    <row r="54" spans="1:9" ht="18" customHeight="1">
      <c r="A54" s="120" t="s">
        <v>4</v>
      </c>
      <c r="B54" s="120" t="s">
        <v>5</v>
      </c>
      <c r="C54" s="359" t="s">
        <v>170</v>
      </c>
      <c r="D54" s="359" t="s">
        <v>165</v>
      </c>
      <c r="E54" s="359" t="s">
        <v>166</v>
      </c>
      <c r="F54" s="359" t="s">
        <v>167</v>
      </c>
      <c r="G54" s="359" t="s">
        <v>168</v>
      </c>
      <c r="H54" s="277" t="s">
        <v>192</v>
      </c>
      <c r="I54" s="277" t="s">
        <v>198</v>
      </c>
    </row>
    <row r="55" spans="1:9" ht="19.5" customHeight="1">
      <c r="A55" s="352" t="s">
        <v>4</v>
      </c>
      <c r="B55" s="352" t="s">
        <v>5</v>
      </c>
      <c r="C55" s="282" t="s">
        <v>170</v>
      </c>
      <c r="D55" s="358" t="s">
        <v>165</v>
      </c>
      <c r="E55" s="358" t="s">
        <v>166</v>
      </c>
      <c r="F55" s="516" t="s">
        <v>167</v>
      </c>
      <c r="G55" s="282" t="s">
        <v>168</v>
      </c>
      <c r="H55" s="278" t="s">
        <v>192</v>
      </c>
      <c r="I55" s="278" t="s">
        <v>198</v>
      </c>
    </row>
    <row r="56" spans="1:9" ht="12.75">
      <c r="A56" s="331"/>
      <c r="B56" s="331"/>
      <c r="C56" s="517" t="s">
        <v>423</v>
      </c>
      <c r="D56" s="633"/>
      <c r="E56" s="634"/>
      <c r="F56" s="635"/>
      <c r="G56" s="517" t="s">
        <v>427</v>
      </c>
      <c r="H56" s="357" t="s">
        <v>191</v>
      </c>
      <c r="I56" s="357" t="s">
        <v>199</v>
      </c>
    </row>
    <row r="57" spans="1:9" ht="12.75">
      <c r="A57" s="115"/>
      <c r="B57" s="115"/>
      <c r="C57" s="116"/>
      <c r="D57" s="116"/>
      <c r="E57" s="116"/>
      <c r="F57" s="116"/>
      <c r="G57" s="358" t="s">
        <v>63</v>
      </c>
      <c r="H57" s="121" t="s">
        <v>257</v>
      </c>
      <c r="I57" s="121" t="s">
        <v>257</v>
      </c>
    </row>
    <row r="58" spans="1:9" ht="15.75" customHeight="1">
      <c r="A58" s="54">
        <v>40</v>
      </c>
      <c r="B58" s="57" t="s">
        <v>78</v>
      </c>
      <c r="C58" s="116">
        <v>10000</v>
      </c>
      <c r="D58" s="116">
        <v>3849</v>
      </c>
      <c r="E58" s="116">
        <v>2351</v>
      </c>
      <c r="F58" s="116">
        <v>2351</v>
      </c>
      <c r="G58" s="116">
        <v>0</v>
      </c>
      <c r="H58" s="116">
        <v>36077</v>
      </c>
      <c r="I58" s="116">
        <v>19591</v>
      </c>
    </row>
    <row r="59" spans="1:9" ht="15.75" customHeight="1">
      <c r="A59" s="54">
        <v>41</v>
      </c>
      <c r="B59" s="57" t="s">
        <v>278</v>
      </c>
      <c r="C59" s="116">
        <v>42600</v>
      </c>
      <c r="D59" s="116">
        <v>24942</v>
      </c>
      <c r="E59" s="116">
        <v>14382</v>
      </c>
      <c r="F59" s="116">
        <v>34790</v>
      </c>
      <c r="G59" s="116">
        <v>50065</v>
      </c>
      <c r="H59" s="116">
        <v>203035</v>
      </c>
      <c r="I59" s="116">
        <v>162753</v>
      </c>
    </row>
    <row r="60" spans="1:9" ht="15.75" customHeight="1">
      <c r="A60" s="54">
        <v>42</v>
      </c>
      <c r="B60" s="57" t="s">
        <v>30</v>
      </c>
      <c r="C60" s="116">
        <v>5600</v>
      </c>
      <c r="D60" s="116">
        <v>973</v>
      </c>
      <c r="E60" s="116">
        <v>727</v>
      </c>
      <c r="F60" s="116">
        <v>727</v>
      </c>
      <c r="G60" s="116">
        <v>5378</v>
      </c>
      <c r="H60" s="116">
        <v>11289</v>
      </c>
      <c r="I60" s="116">
        <v>10603</v>
      </c>
    </row>
    <row r="61" spans="1:9" ht="15.75" customHeight="1">
      <c r="A61" s="54">
        <v>43</v>
      </c>
      <c r="B61" s="57" t="s">
        <v>234</v>
      </c>
      <c r="C61" s="116">
        <v>24000</v>
      </c>
      <c r="D61" s="116">
        <v>16696</v>
      </c>
      <c r="E61" s="116">
        <v>14509</v>
      </c>
      <c r="F61" s="116">
        <v>57883</v>
      </c>
      <c r="G61" s="116">
        <v>63244</v>
      </c>
      <c r="H61" s="116">
        <v>101775</v>
      </c>
      <c r="I61" s="116">
        <v>84900</v>
      </c>
    </row>
    <row r="62" spans="1:9" ht="15.75" customHeight="1">
      <c r="A62" s="54">
        <v>44</v>
      </c>
      <c r="B62" s="57" t="s">
        <v>29</v>
      </c>
      <c r="C62" s="116">
        <v>11300</v>
      </c>
      <c r="D62" s="116">
        <v>751</v>
      </c>
      <c r="E62" s="116">
        <v>328</v>
      </c>
      <c r="F62" s="116">
        <v>328</v>
      </c>
      <c r="G62" s="116">
        <v>1962</v>
      </c>
      <c r="H62" s="116">
        <v>11139</v>
      </c>
      <c r="I62" s="116">
        <v>4340</v>
      </c>
    </row>
    <row r="63" spans="1:9" ht="15.75" customHeight="1">
      <c r="A63" s="54">
        <v>45</v>
      </c>
      <c r="B63" s="57" t="s">
        <v>391</v>
      </c>
      <c r="C63" s="116">
        <v>31300</v>
      </c>
      <c r="D63" s="116">
        <v>21814</v>
      </c>
      <c r="E63" s="116">
        <v>19856</v>
      </c>
      <c r="F63" s="116">
        <v>19856</v>
      </c>
      <c r="G63" s="116">
        <v>62846</v>
      </c>
      <c r="H63" s="116">
        <v>161828</v>
      </c>
      <c r="I63" s="116">
        <v>146300</v>
      </c>
    </row>
    <row r="64" spans="1:9" ht="15.75" customHeight="1">
      <c r="A64" s="54">
        <v>46</v>
      </c>
      <c r="B64" s="57" t="s">
        <v>25</v>
      </c>
      <c r="C64" s="116">
        <v>8850</v>
      </c>
      <c r="D64" s="116">
        <v>5398</v>
      </c>
      <c r="E64" s="116">
        <v>3572</v>
      </c>
      <c r="F64" s="116">
        <v>3572</v>
      </c>
      <c r="G64" s="116">
        <v>8369</v>
      </c>
      <c r="H64" s="116">
        <v>36437</v>
      </c>
      <c r="I64" s="116">
        <v>28633</v>
      </c>
    </row>
    <row r="65" spans="1:9" ht="15.75" customHeight="1">
      <c r="A65" s="54">
        <v>47</v>
      </c>
      <c r="B65" s="57" t="s">
        <v>28</v>
      </c>
      <c r="C65" s="116">
        <v>3000</v>
      </c>
      <c r="D65" s="116">
        <v>871</v>
      </c>
      <c r="E65" s="116">
        <v>972</v>
      </c>
      <c r="F65" s="116">
        <v>5895</v>
      </c>
      <c r="G65" s="116">
        <v>6531</v>
      </c>
      <c r="H65" s="116">
        <v>7667</v>
      </c>
      <c r="I65" s="116">
        <v>6395</v>
      </c>
    </row>
    <row r="66" spans="1:9" s="334" customFormat="1" ht="15.75" customHeight="1">
      <c r="A66" s="54"/>
      <c r="B66" s="328" t="s">
        <v>123</v>
      </c>
      <c r="C66" s="326">
        <f aca="true" t="shared" si="4" ref="C66:I66">SUM(C58:C65)</f>
        <v>136650</v>
      </c>
      <c r="D66" s="326">
        <f t="shared" si="4"/>
        <v>75294</v>
      </c>
      <c r="E66" s="326">
        <f t="shared" si="4"/>
        <v>56697</v>
      </c>
      <c r="F66" s="326">
        <f t="shared" si="4"/>
        <v>125402</v>
      </c>
      <c r="G66" s="326">
        <f t="shared" si="4"/>
        <v>198395</v>
      </c>
      <c r="H66" s="326">
        <f t="shared" si="4"/>
        <v>569247</v>
      </c>
      <c r="I66" s="326">
        <f t="shared" si="4"/>
        <v>463515</v>
      </c>
    </row>
    <row r="67" spans="1:9" ht="15.75" customHeight="1">
      <c r="A67" s="54"/>
      <c r="B67" s="117" t="s">
        <v>36</v>
      </c>
      <c r="C67" s="116"/>
      <c r="D67" s="116"/>
      <c r="E67" s="116"/>
      <c r="F67" s="116"/>
      <c r="G67" s="116"/>
      <c r="H67" s="509"/>
      <c r="I67" s="116"/>
    </row>
    <row r="68" spans="1:9" ht="15.75" customHeight="1">
      <c r="A68" s="54">
        <v>48</v>
      </c>
      <c r="B68" s="116" t="s">
        <v>34</v>
      </c>
      <c r="C68" s="116">
        <v>450000</v>
      </c>
      <c r="D68" s="116">
        <v>248801</v>
      </c>
      <c r="E68" s="116">
        <v>248454</v>
      </c>
      <c r="F68" s="116">
        <v>349619</v>
      </c>
      <c r="G68" s="116">
        <v>472942</v>
      </c>
      <c r="H68" s="116">
        <v>3450207</v>
      </c>
      <c r="I68" s="116">
        <v>1452896</v>
      </c>
    </row>
    <row r="69" spans="1:9" ht="15.75" customHeight="1">
      <c r="A69" s="54">
        <v>49</v>
      </c>
      <c r="B69" s="116" t="s">
        <v>130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</row>
    <row r="70" spans="1:9" s="334" customFormat="1" ht="15.75" customHeight="1">
      <c r="A70" s="325"/>
      <c r="B70" s="328" t="s">
        <v>123</v>
      </c>
      <c r="C70" s="326">
        <f aca="true" t="shared" si="5" ref="C70:I70">SUM(C68:C69)</f>
        <v>450000</v>
      </c>
      <c r="D70" s="326">
        <f t="shared" si="5"/>
        <v>248801</v>
      </c>
      <c r="E70" s="326">
        <f t="shared" si="5"/>
        <v>248454</v>
      </c>
      <c r="F70" s="326">
        <f t="shared" si="5"/>
        <v>349619</v>
      </c>
      <c r="G70" s="326">
        <f t="shared" si="5"/>
        <v>472942</v>
      </c>
      <c r="H70" s="326">
        <f t="shared" si="5"/>
        <v>3450207</v>
      </c>
      <c r="I70" s="326">
        <f t="shared" si="5"/>
        <v>1452896</v>
      </c>
    </row>
    <row r="71" spans="1:9" s="334" customFormat="1" ht="15.75" customHeight="1">
      <c r="A71" s="325"/>
      <c r="B71" s="328" t="s">
        <v>35</v>
      </c>
      <c r="C71" s="326">
        <f aca="true" t="shared" si="6" ref="C71:I71">C50+C66+C70</f>
        <v>818697</v>
      </c>
      <c r="D71" s="326">
        <f t="shared" si="6"/>
        <v>518557</v>
      </c>
      <c r="E71" s="326">
        <f t="shared" si="6"/>
        <v>519351</v>
      </c>
      <c r="F71" s="326">
        <f t="shared" si="6"/>
        <v>666972</v>
      </c>
      <c r="G71" s="326">
        <f t="shared" si="6"/>
        <v>1761558</v>
      </c>
      <c r="H71" s="326">
        <f t="shared" si="6"/>
        <v>5585952</v>
      </c>
      <c r="I71" s="326">
        <f t="shared" si="6"/>
        <v>3123493</v>
      </c>
    </row>
    <row r="72" ht="12.75">
      <c r="A72" s="119"/>
    </row>
    <row r="75" spans="4:5" ht="12.75">
      <c r="D75" s="127">
        <v>12</v>
      </c>
      <c r="E75" s="127" t="s">
        <v>379</v>
      </c>
    </row>
  </sheetData>
  <sheetProtection/>
  <mergeCells count="2">
    <mergeCell ref="D6:F6"/>
    <mergeCell ref="D56:F56"/>
  </mergeCells>
  <printOptions gridLines="1" horizontalCentered="1"/>
  <pageMargins left="0.75" right="0.75" top="0.42" bottom="0.6" header="0.3" footer="0.41"/>
  <pageSetup blackAndWhite="1" horizontalDpi="300" verticalDpi="300" orientation="landscape" paperSize="9" scale="77" r:id="rId2"/>
  <rowBreaks count="1" manualBreakCount="1">
    <brk id="50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F45">
      <selection activeCell="M66" sqref="M66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9.28125" style="6" bestFit="1" customWidth="1"/>
    <col min="4" max="4" width="13.28125" style="6" bestFit="1" customWidth="1"/>
    <col min="5" max="5" width="9.421875" style="6" customWidth="1"/>
    <col min="6" max="6" width="9.7109375" style="6" customWidth="1"/>
    <col min="7" max="7" width="9.28125" style="6" bestFit="1" customWidth="1"/>
    <col min="8" max="8" width="9.28125" style="22" bestFit="1" customWidth="1"/>
    <col min="9" max="9" width="10.421875" style="6" customWidth="1"/>
    <col min="10" max="10" width="14.140625" style="6" bestFit="1" customWidth="1"/>
    <col min="11" max="11" width="9.28125" style="6" bestFit="1" customWidth="1"/>
    <col min="12" max="12" width="12.7109375" style="6" bestFit="1" customWidth="1"/>
    <col min="13" max="13" width="9.28125" style="6" bestFit="1" customWidth="1"/>
    <col min="14" max="14" width="12.7109375" style="6" bestFit="1" customWidth="1"/>
  </cols>
  <sheetData>
    <row r="1" ht="16.5" customHeight="1">
      <c r="H1" s="99"/>
    </row>
    <row r="2" spans="1:8" ht="16.5" customHeight="1">
      <c r="A2" s="2"/>
      <c r="B2" s="2"/>
      <c r="H2" s="99"/>
    </row>
    <row r="3" spans="8:10" ht="16.5" customHeight="1">
      <c r="H3" s="99"/>
      <c r="I3" s="4"/>
      <c r="J3" s="4"/>
    </row>
    <row r="4" spans="1:14" ht="12.75">
      <c r="A4" s="74"/>
      <c r="B4" s="74"/>
      <c r="C4" s="649" t="s">
        <v>428</v>
      </c>
      <c r="D4" s="649"/>
      <c r="E4" s="649"/>
      <c r="F4" s="649"/>
      <c r="G4" s="649"/>
      <c r="H4" s="649"/>
      <c r="I4" s="63" t="s">
        <v>84</v>
      </c>
      <c r="J4" s="78"/>
      <c r="K4" s="650"/>
      <c r="L4" s="650"/>
      <c r="M4" s="78"/>
      <c r="N4" s="78"/>
    </row>
    <row r="5" spans="1:14" ht="12.75">
      <c r="A5" s="44"/>
      <c r="B5" s="44"/>
      <c r="C5" s="83" t="s">
        <v>79</v>
      </c>
      <c r="D5" s="53" t="s">
        <v>197</v>
      </c>
      <c r="E5" s="133" t="s">
        <v>86</v>
      </c>
      <c r="F5" s="134"/>
      <c r="G5" s="83" t="s">
        <v>79</v>
      </c>
      <c r="H5" s="255" t="s">
        <v>79</v>
      </c>
      <c r="I5" s="146" t="s">
        <v>87</v>
      </c>
      <c r="J5" s="140"/>
      <c r="K5" s="133" t="s">
        <v>139</v>
      </c>
      <c r="L5" s="134"/>
      <c r="M5" s="651" t="s">
        <v>143</v>
      </c>
      <c r="N5" s="652"/>
    </row>
    <row r="6" spans="1:14" ht="12.75">
      <c r="A6" s="44" t="s">
        <v>4</v>
      </c>
      <c r="B6" s="44" t="s">
        <v>5</v>
      </c>
      <c r="C6" s="84" t="s">
        <v>88</v>
      </c>
      <c r="D6" s="82" t="s">
        <v>57</v>
      </c>
      <c r="E6" s="82" t="s">
        <v>57</v>
      </c>
      <c r="F6" s="82" t="s">
        <v>89</v>
      </c>
      <c r="G6" s="84" t="s">
        <v>81</v>
      </c>
      <c r="H6" s="268" t="s">
        <v>90</v>
      </c>
      <c r="I6" s="142" t="s">
        <v>91</v>
      </c>
      <c r="J6" s="141"/>
      <c r="K6" s="63" t="s">
        <v>140</v>
      </c>
      <c r="L6" s="147"/>
      <c r="M6" s="653" t="s">
        <v>144</v>
      </c>
      <c r="N6" s="654"/>
    </row>
    <row r="7" spans="1:14" ht="12.75">
      <c r="A7" s="47"/>
      <c r="B7" s="47"/>
      <c r="C7" s="97"/>
      <c r="D7" s="53"/>
      <c r="E7" s="53"/>
      <c r="F7" s="53"/>
      <c r="G7" s="97" t="s">
        <v>82</v>
      </c>
      <c r="H7" s="256" t="s">
        <v>92</v>
      </c>
      <c r="I7" s="82" t="s">
        <v>57</v>
      </c>
      <c r="J7" s="82" t="s">
        <v>89</v>
      </c>
      <c r="K7" s="82" t="s">
        <v>57</v>
      </c>
      <c r="L7" s="82" t="s">
        <v>89</v>
      </c>
      <c r="M7" s="82" t="s">
        <v>76</v>
      </c>
      <c r="N7" s="82" t="s">
        <v>63</v>
      </c>
    </row>
    <row r="8" spans="1:14" s="103" customFormat="1" ht="12.75">
      <c r="A8" s="54">
        <v>1</v>
      </c>
      <c r="B8" s="57" t="s">
        <v>7</v>
      </c>
      <c r="C8" s="57">
        <v>148</v>
      </c>
      <c r="D8" s="57">
        <v>124</v>
      </c>
      <c r="E8" s="57">
        <v>105</v>
      </c>
      <c r="F8" s="57">
        <v>278</v>
      </c>
      <c r="G8" s="57">
        <v>24</v>
      </c>
      <c r="H8" s="190">
        <f aca="true" t="shared" si="0" ref="H8:H48">C8-D8-G8</f>
        <v>0</v>
      </c>
      <c r="I8" s="57">
        <v>6493</v>
      </c>
      <c r="J8" s="57">
        <v>16869</v>
      </c>
      <c r="K8" s="57">
        <v>931</v>
      </c>
      <c r="L8" s="57">
        <v>1121</v>
      </c>
      <c r="M8" s="57">
        <v>689</v>
      </c>
      <c r="N8" s="57">
        <v>833</v>
      </c>
    </row>
    <row r="9" spans="1:14" s="103" customFormat="1" ht="12.75">
      <c r="A9" s="54">
        <v>2</v>
      </c>
      <c r="B9" s="57" t="s">
        <v>8</v>
      </c>
      <c r="C9" s="57">
        <v>6</v>
      </c>
      <c r="D9" s="57">
        <v>6</v>
      </c>
      <c r="E9" s="57">
        <v>6</v>
      </c>
      <c r="F9" s="57">
        <v>16</v>
      </c>
      <c r="G9" s="57">
        <v>0</v>
      </c>
      <c r="H9" s="190">
        <f t="shared" si="0"/>
        <v>0</v>
      </c>
      <c r="I9" s="57">
        <v>191</v>
      </c>
      <c r="J9" s="57">
        <v>243</v>
      </c>
      <c r="K9" s="57">
        <v>5</v>
      </c>
      <c r="L9" s="57">
        <v>8</v>
      </c>
      <c r="M9" s="57">
        <v>9</v>
      </c>
      <c r="N9" s="57">
        <v>32</v>
      </c>
    </row>
    <row r="10" spans="1:14" s="103" customFormat="1" ht="12.75">
      <c r="A10" s="54">
        <v>3</v>
      </c>
      <c r="B10" s="57" t="s">
        <v>9</v>
      </c>
      <c r="C10" s="57">
        <v>613</v>
      </c>
      <c r="D10" s="57">
        <v>613</v>
      </c>
      <c r="E10" s="57">
        <v>613</v>
      </c>
      <c r="F10" s="57">
        <v>6412</v>
      </c>
      <c r="G10" s="57">
        <v>0</v>
      </c>
      <c r="H10" s="190">
        <f t="shared" si="0"/>
        <v>0</v>
      </c>
      <c r="I10" s="57">
        <v>5323</v>
      </c>
      <c r="J10" s="57">
        <v>20863</v>
      </c>
      <c r="K10" s="57">
        <v>1542</v>
      </c>
      <c r="L10" s="57">
        <v>3104</v>
      </c>
      <c r="M10" s="57">
        <v>2411</v>
      </c>
      <c r="N10" s="57">
        <v>6952</v>
      </c>
    </row>
    <row r="11" spans="1:14" ht="12.75">
      <c r="A11" s="50">
        <v>4</v>
      </c>
      <c r="B11" s="51" t="s">
        <v>10</v>
      </c>
      <c r="C11" s="51">
        <v>407</v>
      </c>
      <c r="D11" s="51">
        <v>396</v>
      </c>
      <c r="E11" s="51">
        <v>392</v>
      </c>
      <c r="F11" s="51">
        <v>2317</v>
      </c>
      <c r="G11" s="51">
        <v>0</v>
      </c>
      <c r="H11" s="190">
        <f t="shared" si="0"/>
        <v>11</v>
      </c>
      <c r="I11" s="51">
        <v>9858</v>
      </c>
      <c r="J11" s="51">
        <v>31162</v>
      </c>
      <c r="K11" s="51">
        <v>943</v>
      </c>
      <c r="L11" s="51">
        <v>2148</v>
      </c>
      <c r="M11" s="51">
        <v>1787</v>
      </c>
      <c r="N11" s="51">
        <v>4938</v>
      </c>
    </row>
    <row r="12" spans="1:14" ht="12.75">
      <c r="A12" s="50">
        <v>5</v>
      </c>
      <c r="B12" s="51" t="s">
        <v>11</v>
      </c>
      <c r="C12" s="51">
        <v>195</v>
      </c>
      <c r="D12" s="51">
        <v>182</v>
      </c>
      <c r="E12" s="51">
        <v>182</v>
      </c>
      <c r="F12" s="51">
        <v>922</v>
      </c>
      <c r="G12" s="51">
        <v>7</v>
      </c>
      <c r="H12" s="190">
        <f t="shared" si="0"/>
        <v>6</v>
      </c>
      <c r="I12" s="51">
        <v>2171</v>
      </c>
      <c r="J12" s="51">
        <v>9576</v>
      </c>
      <c r="K12" s="51">
        <v>436</v>
      </c>
      <c r="L12" s="51">
        <v>2658</v>
      </c>
      <c r="M12" s="51">
        <v>516</v>
      </c>
      <c r="N12" s="51">
        <v>1633</v>
      </c>
    </row>
    <row r="13" spans="1:14" ht="12.75">
      <c r="A13" s="50">
        <v>6</v>
      </c>
      <c r="B13" s="51" t="s">
        <v>12</v>
      </c>
      <c r="C13" s="51">
        <v>528</v>
      </c>
      <c r="D13" s="51">
        <v>528</v>
      </c>
      <c r="E13" s="51">
        <v>528</v>
      </c>
      <c r="F13" s="51">
        <v>1761</v>
      </c>
      <c r="G13" s="51">
        <v>0</v>
      </c>
      <c r="H13" s="190">
        <f t="shared" si="0"/>
        <v>0</v>
      </c>
      <c r="I13" s="51">
        <v>1870</v>
      </c>
      <c r="J13" s="51">
        <v>8556</v>
      </c>
      <c r="K13" s="51">
        <v>531</v>
      </c>
      <c r="L13" s="51">
        <v>311</v>
      </c>
      <c r="M13" s="51">
        <v>638</v>
      </c>
      <c r="N13" s="51">
        <v>4180</v>
      </c>
    </row>
    <row r="14" spans="1:14" s="103" customFormat="1" ht="12.75">
      <c r="A14" s="54">
        <v>7</v>
      </c>
      <c r="B14" s="57" t="s">
        <v>13</v>
      </c>
      <c r="C14" s="57">
        <v>1238</v>
      </c>
      <c r="D14" s="57">
        <v>1183</v>
      </c>
      <c r="E14" s="57">
        <v>1138</v>
      </c>
      <c r="F14" s="57">
        <v>4686</v>
      </c>
      <c r="G14" s="57">
        <v>55</v>
      </c>
      <c r="H14" s="190">
        <f t="shared" si="0"/>
        <v>0</v>
      </c>
      <c r="I14" s="57">
        <v>9896</v>
      </c>
      <c r="J14" s="57">
        <v>55539</v>
      </c>
      <c r="K14" s="57">
        <v>1905</v>
      </c>
      <c r="L14" s="57">
        <v>5128</v>
      </c>
      <c r="M14" s="57">
        <v>2011</v>
      </c>
      <c r="N14" s="57">
        <v>6125</v>
      </c>
    </row>
    <row r="15" spans="1:14" s="103" customFormat="1" ht="12.75">
      <c r="A15" s="54">
        <v>8</v>
      </c>
      <c r="B15" s="57" t="s">
        <v>162</v>
      </c>
      <c r="C15" s="57">
        <v>62</v>
      </c>
      <c r="D15" s="57">
        <v>62</v>
      </c>
      <c r="E15" s="57">
        <v>62</v>
      </c>
      <c r="F15" s="57">
        <v>272</v>
      </c>
      <c r="G15" s="57">
        <v>0</v>
      </c>
      <c r="H15" s="190">
        <f t="shared" si="0"/>
        <v>0</v>
      </c>
      <c r="I15" s="57">
        <v>408</v>
      </c>
      <c r="J15" s="57">
        <v>1636</v>
      </c>
      <c r="K15" s="57">
        <v>19</v>
      </c>
      <c r="L15" s="57">
        <v>50</v>
      </c>
      <c r="M15" s="57">
        <v>7</v>
      </c>
      <c r="N15" s="57">
        <v>22</v>
      </c>
    </row>
    <row r="16" spans="1:14" ht="12.75">
      <c r="A16" s="50">
        <v>9</v>
      </c>
      <c r="B16" s="51" t="s">
        <v>14</v>
      </c>
      <c r="C16" s="51">
        <v>251</v>
      </c>
      <c r="D16" s="51">
        <v>240</v>
      </c>
      <c r="E16" s="51">
        <v>233</v>
      </c>
      <c r="F16" s="51">
        <v>1688</v>
      </c>
      <c r="G16" s="51">
        <v>5</v>
      </c>
      <c r="H16" s="190">
        <f t="shared" si="0"/>
        <v>6</v>
      </c>
      <c r="I16" s="51">
        <v>1880</v>
      </c>
      <c r="J16" s="51">
        <v>7090</v>
      </c>
      <c r="K16" s="51">
        <v>121</v>
      </c>
      <c r="L16" s="51">
        <v>320</v>
      </c>
      <c r="M16" s="51">
        <v>373</v>
      </c>
      <c r="N16" s="51">
        <v>1584</v>
      </c>
    </row>
    <row r="17" spans="1:14" ht="12.75">
      <c r="A17" s="50">
        <v>10</v>
      </c>
      <c r="B17" s="51" t="s">
        <v>15</v>
      </c>
      <c r="C17" s="51">
        <v>30</v>
      </c>
      <c r="D17" s="51">
        <v>28</v>
      </c>
      <c r="E17" s="51">
        <v>28</v>
      </c>
      <c r="F17" s="51">
        <v>44</v>
      </c>
      <c r="G17" s="51">
        <v>0</v>
      </c>
      <c r="H17" s="190">
        <f t="shared" si="0"/>
        <v>2</v>
      </c>
      <c r="I17" s="51">
        <v>268</v>
      </c>
      <c r="J17" s="51">
        <v>782</v>
      </c>
      <c r="K17" s="51">
        <v>10</v>
      </c>
      <c r="L17" s="51">
        <v>30</v>
      </c>
      <c r="M17" s="51">
        <v>42</v>
      </c>
      <c r="N17" s="51">
        <v>134</v>
      </c>
    </row>
    <row r="18" spans="1:14" ht="12.75">
      <c r="A18" s="50">
        <v>11</v>
      </c>
      <c r="B18" s="51" t="s">
        <v>16</v>
      </c>
      <c r="C18" s="51">
        <v>16</v>
      </c>
      <c r="D18" s="51">
        <v>16</v>
      </c>
      <c r="E18" s="51">
        <v>16</v>
      </c>
      <c r="F18" s="51">
        <v>127</v>
      </c>
      <c r="G18" s="51">
        <v>0</v>
      </c>
      <c r="H18" s="190">
        <f t="shared" si="0"/>
        <v>0</v>
      </c>
      <c r="I18" s="51">
        <v>398</v>
      </c>
      <c r="J18" s="51">
        <v>1035</v>
      </c>
      <c r="K18" s="51">
        <v>133</v>
      </c>
      <c r="L18" s="51">
        <v>256</v>
      </c>
      <c r="M18" s="51">
        <v>37</v>
      </c>
      <c r="N18" s="51">
        <v>156</v>
      </c>
    </row>
    <row r="19" spans="1:15" ht="12.75">
      <c r="A19" s="50">
        <v>12</v>
      </c>
      <c r="B19" s="51" t="s">
        <v>17</v>
      </c>
      <c r="C19" s="51">
        <v>285</v>
      </c>
      <c r="D19" s="51">
        <v>283</v>
      </c>
      <c r="E19" s="51">
        <v>285</v>
      </c>
      <c r="F19" s="51">
        <v>1586</v>
      </c>
      <c r="G19" s="51">
        <v>0</v>
      </c>
      <c r="H19" s="190">
        <f t="shared" si="0"/>
        <v>2</v>
      </c>
      <c r="I19" s="51">
        <v>3774</v>
      </c>
      <c r="J19" s="51">
        <v>10523</v>
      </c>
      <c r="K19" s="51">
        <v>329</v>
      </c>
      <c r="L19" s="51">
        <v>658</v>
      </c>
      <c r="M19" s="51">
        <v>903</v>
      </c>
      <c r="N19" s="51">
        <v>2687</v>
      </c>
      <c r="O19" s="100"/>
    </row>
    <row r="20" spans="1:14" ht="12.75">
      <c r="A20" s="50">
        <v>13</v>
      </c>
      <c r="B20" s="51" t="s">
        <v>164</v>
      </c>
      <c r="C20" s="51">
        <v>80</v>
      </c>
      <c r="D20" s="51">
        <v>80</v>
      </c>
      <c r="E20" s="51">
        <v>80</v>
      </c>
      <c r="F20" s="51">
        <v>435</v>
      </c>
      <c r="G20" s="51">
        <v>0</v>
      </c>
      <c r="H20" s="190">
        <f t="shared" si="0"/>
        <v>0</v>
      </c>
      <c r="I20" s="51">
        <v>693</v>
      </c>
      <c r="J20" s="51">
        <v>2173</v>
      </c>
      <c r="K20" s="51">
        <v>58</v>
      </c>
      <c r="L20" s="51">
        <v>85</v>
      </c>
      <c r="M20" s="51">
        <v>164</v>
      </c>
      <c r="N20" s="51">
        <v>554</v>
      </c>
    </row>
    <row r="21" spans="1:14" ht="12.75">
      <c r="A21" s="50">
        <v>14</v>
      </c>
      <c r="B21" s="51" t="s">
        <v>77</v>
      </c>
      <c r="C21" s="51">
        <v>910</v>
      </c>
      <c r="D21" s="51">
        <v>634</v>
      </c>
      <c r="E21" s="51">
        <v>634</v>
      </c>
      <c r="F21" s="51">
        <v>5060</v>
      </c>
      <c r="G21" s="51">
        <v>195</v>
      </c>
      <c r="H21" s="190">
        <f t="shared" si="0"/>
        <v>81</v>
      </c>
      <c r="I21" s="51">
        <v>10150</v>
      </c>
      <c r="J21" s="51">
        <v>31050</v>
      </c>
      <c r="K21" s="51">
        <v>2408</v>
      </c>
      <c r="L21" s="51">
        <v>8266</v>
      </c>
      <c r="M21" s="51">
        <v>1814</v>
      </c>
      <c r="N21" s="51">
        <v>7236</v>
      </c>
    </row>
    <row r="22" spans="1:14" ht="12.75">
      <c r="A22" s="50">
        <v>15</v>
      </c>
      <c r="B22" s="51" t="s">
        <v>105</v>
      </c>
      <c r="C22" s="51">
        <v>121</v>
      </c>
      <c r="D22" s="51">
        <v>121</v>
      </c>
      <c r="E22" s="51">
        <v>121</v>
      </c>
      <c r="F22" s="51">
        <v>592</v>
      </c>
      <c r="G22" s="51">
        <v>0</v>
      </c>
      <c r="H22" s="190">
        <f t="shared" si="0"/>
        <v>0</v>
      </c>
      <c r="I22" s="51">
        <v>1617</v>
      </c>
      <c r="J22" s="51">
        <v>6476</v>
      </c>
      <c r="K22" s="51">
        <v>121</v>
      </c>
      <c r="L22" s="51">
        <v>466</v>
      </c>
      <c r="M22" s="51">
        <v>331</v>
      </c>
      <c r="N22" s="51">
        <v>1195</v>
      </c>
    </row>
    <row r="23" spans="1:15" s="103" customFormat="1" ht="12.75">
      <c r="A23" s="54">
        <v>16</v>
      </c>
      <c r="B23" s="57" t="s">
        <v>20</v>
      </c>
      <c r="C23" s="57">
        <v>509</v>
      </c>
      <c r="D23" s="57">
        <v>509</v>
      </c>
      <c r="E23" s="57">
        <v>505</v>
      </c>
      <c r="F23" s="57">
        <v>5611</v>
      </c>
      <c r="G23" s="57">
        <v>0</v>
      </c>
      <c r="H23" s="190">
        <f t="shared" si="0"/>
        <v>0</v>
      </c>
      <c r="I23" s="57">
        <v>2285</v>
      </c>
      <c r="J23" s="57">
        <v>8792</v>
      </c>
      <c r="K23" s="57">
        <v>105</v>
      </c>
      <c r="L23" s="57">
        <v>315</v>
      </c>
      <c r="M23" s="57">
        <v>255</v>
      </c>
      <c r="N23" s="57">
        <v>6375</v>
      </c>
      <c r="O23" s="100"/>
    </row>
    <row r="24" spans="1:14" ht="12.75">
      <c r="A24" s="50">
        <v>17</v>
      </c>
      <c r="B24" s="51" t="s">
        <v>21</v>
      </c>
      <c r="C24" s="51">
        <v>1031</v>
      </c>
      <c r="D24" s="51">
        <v>1012</v>
      </c>
      <c r="E24" s="51">
        <v>1009</v>
      </c>
      <c r="F24" s="51">
        <v>4053</v>
      </c>
      <c r="G24" s="51">
        <v>13</v>
      </c>
      <c r="H24" s="190">
        <f t="shared" si="0"/>
        <v>6</v>
      </c>
      <c r="I24" s="51">
        <v>6228</v>
      </c>
      <c r="J24" s="51">
        <v>19792</v>
      </c>
      <c r="K24" s="51">
        <v>910</v>
      </c>
      <c r="L24" s="51">
        <v>2118</v>
      </c>
      <c r="M24" s="51">
        <v>994</v>
      </c>
      <c r="N24" s="51">
        <v>2208</v>
      </c>
    </row>
    <row r="25" spans="1:14" ht="12.75">
      <c r="A25" s="50">
        <v>18</v>
      </c>
      <c r="B25" s="51" t="s">
        <v>19</v>
      </c>
      <c r="C25" s="51">
        <v>32</v>
      </c>
      <c r="D25" s="51">
        <v>32</v>
      </c>
      <c r="E25" s="51">
        <v>27</v>
      </c>
      <c r="F25" s="51">
        <v>141</v>
      </c>
      <c r="G25" s="51">
        <v>0</v>
      </c>
      <c r="H25" s="190">
        <f t="shared" si="0"/>
        <v>0</v>
      </c>
      <c r="I25" s="51">
        <v>132</v>
      </c>
      <c r="J25" s="51">
        <v>670</v>
      </c>
      <c r="K25" s="51">
        <v>27</v>
      </c>
      <c r="L25" s="51">
        <v>52</v>
      </c>
      <c r="M25" s="51">
        <v>22</v>
      </c>
      <c r="N25" s="51">
        <v>77</v>
      </c>
    </row>
    <row r="26" spans="1:14" ht="12.75">
      <c r="A26" s="50">
        <v>19</v>
      </c>
      <c r="B26" s="51" t="s">
        <v>124</v>
      </c>
      <c r="C26" s="51">
        <v>38</v>
      </c>
      <c r="D26" s="51">
        <v>38</v>
      </c>
      <c r="E26" s="51">
        <v>38</v>
      </c>
      <c r="F26" s="51">
        <v>215</v>
      </c>
      <c r="G26" s="51">
        <v>0</v>
      </c>
      <c r="H26" s="190">
        <f t="shared" si="0"/>
        <v>0</v>
      </c>
      <c r="I26" s="51">
        <v>433</v>
      </c>
      <c r="J26" s="51">
        <v>2860</v>
      </c>
      <c r="K26" s="51">
        <v>98</v>
      </c>
      <c r="L26" s="51">
        <v>228</v>
      </c>
      <c r="M26" s="51">
        <v>128</v>
      </c>
      <c r="N26" s="51">
        <v>370</v>
      </c>
    </row>
    <row r="27" spans="1:14" s="165" customFormat="1" ht="14.25">
      <c r="A27" s="163"/>
      <c r="B27" s="128" t="s">
        <v>224</v>
      </c>
      <c r="C27" s="128">
        <f aca="true" t="shared" si="1" ref="C27:N27">SUM(C8:C26)</f>
        <v>6500</v>
      </c>
      <c r="D27" s="128">
        <f t="shared" si="1"/>
        <v>6087</v>
      </c>
      <c r="E27" s="128">
        <f t="shared" si="1"/>
        <v>6002</v>
      </c>
      <c r="F27" s="128">
        <f t="shared" si="1"/>
        <v>36216</v>
      </c>
      <c r="G27" s="128">
        <f t="shared" si="1"/>
        <v>299</v>
      </c>
      <c r="H27" s="197">
        <f>C27-D27-G27</f>
        <v>114</v>
      </c>
      <c r="I27" s="128">
        <f t="shared" si="1"/>
        <v>64068</v>
      </c>
      <c r="J27" s="128">
        <f t="shared" si="1"/>
        <v>235687</v>
      </c>
      <c r="K27" s="128">
        <f t="shared" si="1"/>
        <v>10632</v>
      </c>
      <c r="L27" s="128">
        <f t="shared" si="1"/>
        <v>27322</v>
      </c>
      <c r="M27" s="128">
        <f t="shared" si="1"/>
        <v>13131</v>
      </c>
      <c r="N27" s="128">
        <f t="shared" si="1"/>
        <v>47291</v>
      </c>
    </row>
    <row r="28" spans="1:15" ht="12.75">
      <c r="A28" s="54">
        <v>20</v>
      </c>
      <c r="B28" s="51" t="s">
        <v>23</v>
      </c>
      <c r="C28" s="51">
        <v>25</v>
      </c>
      <c r="D28" s="51">
        <v>25</v>
      </c>
      <c r="E28" s="51">
        <v>25</v>
      </c>
      <c r="F28" s="51">
        <v>202</v>
      </c>
      <c r="G28" s="51">
        <v>0</v>
      </c>
      <c r="H28" s="190">
        <f t="shared" si="0"/>
        <v>0</v>
      </c>
      <c r="I28" s="51">
        <v>25</v>
      </c>
      <c r="J28" s="51">
        <v>202</v>
      </c>
      <c r="K28" s="51">
        <v>0</v>
      </c>
      <c r="L28" s="51">
        <v>0</v>
      </c>
      <c r="M28" s="51">
        <v>5</v>
      </c>
      <c r="N28" s="51">
        <v>28</v>
      </c>
      <c r="O28" s="100"/>
    </row>
    <row r="29" spans="1:14" ht="12" customHeight="1">
      <c r="A29" s="54">
        <v>21</v>
      </c>
      <c r="B29" s="51" t="s">
        <v>269</v>
      </c>
      <c r="C29" s="51">
        <v>5</v>
      </c>
      <c r="D29" s="51">
        <v>3</v>
      </c>
      <c r="E29" s="51">
        <v>3</v>
      </c>
      <c r="F29" s="51">
        <v>23</v>
      </c>
      <c r="G29" s="51">
        <v>1</v>
      </c>
      <c r="H29" s="190">
        <f t="shared" si="0"/>
        <v>1</v>
      </c>
      <c r="I29" s="51">
        <v>280</v>
      </c>
      <c r="J29" s="51">
        <v>2111</v>
      </c>
      <c r="K29" s="51">
        <v>22</v>
      </c>
      <c r="L29" s="51">
        <v>141</v>
      </c>
      <c r="M29" s="51">
        <v>35</v>
      </c>
      <c r="N29" s="51">
        <v>197</v>
      </c>
    </row>
    <row r="30" spans="1:14" ht="12.75">
      <c r="A30" s="54">
        <v>22</v>
      </c>
      <c r="B30" s="51" t="s">
        <v>169</v>
      </c>
      <c r="C30" s="51">
        <v>57</v>
      </c>
      <c r="D30" s="51">
        <v>51</v>
      </c>
      <c r="E30" s="51">
        <v>51</v>
      </c>
      <c r="F30" s="51">
        <v>201</v>
      </c>
      <c r="G30" s="51">
        <v>6</v>
      </c>
      <c r="H30" s="190">
        <f t="shared" si="0"/>
        <v>0</v>
      </c>
      <c r="I30" s="51">
        <v>1612</v>
      </c>
      <c r="J30" s="51">
        <v>3521</v>
      </c>
      <c r="K30" s="51">
        <v>35</v>
      </c>
      <c r="L30" s="51">
        <v>67</v>
      </c>
      <c r="M30" s="51">
        <v>641</v>
      </c>
      <c r="N30" s="51">
        <v>1801</v>
      </c>
    </row>
    <row r="31" spans="1:14" ht="12.75">
      <c r="A31" s="54">
        <v>23</v>
      </c>
      <c r="B31" s="51" t="s">
        <v>22</v>
      </c>
      <c r="C31" s="51">
        <v>106</v>
      </c>
      <c r="D31" s="51">
        <v>106</v>
      </c>
      <c r="E31" s="51">
        <v>106</v>
      </c>
      <c r="F31" s="51">
        <v>542</v>
      </c>
      <c r="G31" s="51">
        <v>0</v>
      </c>
      <c r="H31" s="190">
        <f t="shared" si="0"/>
        <v>0</v>
      </c>
      <c r="I31" s="51">
        <v>254</v>
      </c>
      <c r="J31" s="51">
        <v>1536</v>
      </c>
      <c r="K31" s="51">
        <v>20</v>
      </c>
      <c r="L31" s="51">
        <v>82</v>
      </c>
      <c r="M31" s="51">
        <v>45</v>
      </c>
      <c r="N31" s="51">
        <v>237</v>
      </c>
    </row>
    <row r="32" spans="1:14" s="103" customFormat="1" ht="12.75">
      <c r="A32" s="54">
        <v>24</v>
      </c>
      <c r="B32" s="57" t="s">
        <v>141</v>
      </c>
      <c r="C32" s="57">
        <v>53</v>
      </c>
      <c r="D32" s="57">
        <v>53</v>
      </c>
      <c r="E32" s="57">
        <v>53</v>
      </c>
      <c r="F32" s="57">
        <v>320</v>
      </c>
      <c r="G32" s="57">
        <v>0</v>
      </c>
      <c r="H32" s="190">
        <f t="shared" si="0"/>
        <v>0</v>
      </c>
      <c r="I32" s="57">
        <v>375</v>
      </c>
      <c r="J32" s="57">
        <v>1598</v>
      </c>
      <c r="K32" s="57">
        <v>10</v>
      </c>
      <c r="L32" s="57">
        <v>81</v>
      </c>
      <c r="M32" s="57">
        <v>72</v>
      </c>
      <c r="N32" s="57">
        <v>432</v>
      </c>
    </row>
    <row r="33" spans="1:14" ht="12.75">
      <c r="A33" s="54">
        <v>25</v>
      </c>
      <c r="B33" s="51" t="s">
        <v>18</v>
      </c>
      <c r="C33" s="51">
        <v>9476</v>
      </c>
      <c r="D33" s="51">
        <v>9395</v>
      </c>
      <c r="E33" s="51">
        <v>9395</v>
      </c>
      <c r="F33" s="51">
        <v>55733</v>
      </c>
      <c r="G33" s="51">
        <v>19</v>
      </c>
      <c r="H33" s="190">
        <f t="shared" si="0"/>
        <v>62</v>
      </c>
      <c r="I33" s="51">
        <v>68072</v>
      </c>
      <c r="J33" s="51">
        <v>239593</v>
      </c>
      <c r="K33" s="51">
        <v>15784</v>
      </c>
      <c r="L33" s="51">
        <v>8109</v>
      </c>
      <c r="M33" s="51">
        <v>9616</v>
      </c>
      <c r="N33" s="51">
        <v>41659</v>
      </c>
    </row>
    <row r="34" spans="1:14" ht="12.75">
      <c r="A34" s="54">
        <v>26</v>
      </c>
      <c r="B34" s="51" t="s">
        <v>104</v>
      </c>
      <c r="C34" s="51">
        <v>2104</v>
      </c>
      <c r="D34" s="51">
        <v>1816</v>
      </c>
      <c r="E34" s="51">
        <v>1619</v>
      </c>
      <c r="F34" s="51">
        <v>7279</v>
      </c>
      <c r="G34" s="51">
        <v>245</v>
      </c>
      <c r="H34" s="190">
        <f t="shared" si="0"/>
        <v>43</v>
      </c>
      <c r="I34" s="51">
        <v>26884</v>
      </c>
      <c r="J34" s="51">
        <v>83708</v>
      </c>
      <c r="K34" s="51">
        <v>2894</v>
      </c>
      <c r="L34" s="51">
        <v>6337</v>
      </c>
      <c r="M34" s="51">
        <v>3617</v>
      </c>
      <c r="N34" s="51">
        <v>11249</v>
      </c>
    </row>
    <row r="35" spans="1:14" s="165" customFormat="1" ht="14.25">
      <c r="A35" s="163"/>
      <c r="B35" s="128" t="s">
        <v>226</v>
      </c>
      <c r="C35" s="128">
        <f aca="true" t="shared" si="2" ref="C35:N35">SUM(C28:C34)</f>
        <v>11826</v>
      </c>
      <c r="D35" s="128">
        <f t="shared" si="2"/>
        <v>11449</v>
      </c>
      <c r="E35" s="128">
        <f t="shared" si="2"/>
        <v>11252</v>
      </c>
      <c r="F35" s="128">
        <f t="shared" si="2"/>
        <v>64300</v>
      </c>
      <c r="G35" s="128">
        <f t="shared" si="2"/>
        <v>271</v>
      </c>
      <c r="H35" s="197">
        <f>C35-D35-G35</f>
        <v>106</v>
      </c>
      <c r="I35" s="128">
        <f t="shared" si="2"/>
        <v>97502</v>
      </c>
      <c r="J35" s="128">
        <f t="shared" si="2"/>
        <v>332269</v>
      </c>
      <c r="K35" s="128">
        <f t="shared" si="2"/>
        <v>18765</v>
      </c>
      <c r="L35" s="128">
        <f t="shared" si="2"/>
        <v>14817</v>
      </c>
      <c r="M35" s="128">
        <f t="shared" si="2"/>
        <v>14031</v>
      </c>
      <c r="N35" s="128">
        <f t="shared" si="2"/>
        <v>55603</v>
      </c>
    </row>
    <row r="36" spans="1:14" ht="12.75">
      <c r="A36" s="54">
        <v>27</v>
      </c>
      <c r="B36" s="51" t="s">
        <v>163</v>
      </c>
      <c r="C36" s="51">
        <v>50</v>
      </c>
      <c r="D36" s="51">
        <v>46</v>
      </c>
      <c r="E36" s="51">
        <v>40</v>
      </c>
      <c r="F36" s="51">
        <v>471</v>
      </c>
      <c r="G36" s="51">
        <v>4</v>
      </c>
      <c r="H36" s="190">
        <f t="shared" si="0"/>
        <v>0</v>
      </c>
      <c r="I36" s="51">
        <v>394</v>
      </c>
      <c r="J36" s="51">
        <v>1241</v>
      </c>
      <c r="K36" s="51">
        <v>0</v>
      </c>
      <c r="L36" s="51">
        <v>0</v>
      </c>
      <c r="M36" s="51">
        <v>9</v>
      </c>
      <c r="N36" s="51">
        <v>118</v>
      </c>
    </row>
    <row r="37" spans="1:14" s="103" customFormat="1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190">
        <f t="shared" si="0"/>
        <v>0</v>
      </c>
      <c r="I37" s="57">
        <v>160</v>
      </c>
      <c r="J37" s="57">
        <v>1037</v>
      </c>
      <c r="K37" s="57">
        <v>0</v>
      </c>
      <c r="L37" s="57">
        <v>0</v>
      </c>
      <c r="M37" s="57">
        <v>0</v>
      </c>
      <c r="N37" s="57">
        <v>0</v>
      </c>
    </row>
    <row r="38" spans="1:14" ht="12.75">
      <c r="A38" s="54">
        <v>29</v>
      </c>
      <c r="B38" s="51" t="s">
        <v>218</v>
      </c>
      <c r="C38" s="51">
        <v>90</v>
      </c>
      <c r="D38" s="51">
        <v>90</v>
      </c>
      <c r="E38" s="51">
        <v>90</v>
      </c>
      <c r="F38" s="51">
        <v>436</v>
      </c>
      <c r="G38" s="51">
        <v>0</v>
      </c>
      <c r="H38" s="190">
        <f t="shared" si="0"/>
        <v>0</v>
      </c>
      <c r="I38" s="51">
        <v>21135</v>
      </c>
      <c r="J38" s="51">
        <v>72081</v>
      </c>
      <c r="K38" s="51">
        <v>0</v>
      </c>
      <c r="L38" s="51">
        <v>0</v>
      </c>
      <c r="M38" s="51">
        <v>3685</v>
      </c>
      <c r="N38" s="51">
        <v>16928</v>
      </c>
    </row>
    <row r="39" spans="1:14" ht="12.75">
      <c r="A39" s="54">
        <v>30</v>
      </c>
      <c r="B39" s="51" t="s">
        <v>236</v>
      </c>
      <c r="C39" s="51">
        <v>515</v>
      </c>
      <c r="D39" s="51">
        <v>322</v>
      </c>
      <c r="E39" s="51">
        <v>270</v>
      </c>
      <c r="F39" s="51">
        <v>4850</v>
      </c>
      <c r="G39" s="51">
        <v>127</v>
      </c>
      <c r="H39" s="190">
        <f t="shared" si="0"/>
        <v>66</v>
      </c>
      <c r="I39" s="51">
        <v>270</v>
      </c>
      <c r="J39" s="51">
        <v>4850</v>
      </c>
      <c r="K39" s="51">
        <v>1</v>
      </c>
      <c r="L39" s="51">
        <v>3</v>
      </c>
      <c r="M39" s="51">
        <v>9</v>
      </c>
      <c r="N39" s="51">
        <v>21</v>
      </c>
    </row>
    <row r="40" spans="1:14" s="103" customFormat="1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190">
        <f t="shared" si="0"/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48</v>
      </c>
    </row>
    <row r="41" spans="1:14" ht="12.75">
      <c r="A41" s="54">
        <v>32</v>
      </c>
      <c r="B41" s="51" t="s">
        <v>220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190">
        <f t="shared" si="0"/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</row>
    <row r="42" spans="1:14" ht="12.75">
      <c r="A42" s="110">
        <v>33</v>
      </c>
      <c r="B42" s="113" t="s">
        <v>363</v>
      </c>
      <c r="C42" s="51">
        <v>28</v>
      </c>
      <c r="D42" s="51">
        <v>26</v>
      </c>
      <c r="E42" s="51">
        <v>26</v>
      </c>
      <c r="F42" s="51">
        <v>99</v>
      </c>
      <c r="G42" s="51">
        <v>0</v>
      </c>
      <c r="H42" s="190">
        <f>C42-D42-G42</f>
        <v>2</v>
      </c>
      <c r="I42" s="51">
        <v>26</v>
      </c>
      <c r="J42" s="51">
        <v>99</v>
      </c>
      <c r="K42" s="51">
        <v>0</v>
      </c>
      <c r="L42" s="51">
        <v>0</v>
      </c>
      <c r="M42" s="51">
        <v>0</v>
      </c>
      <c r="N42" s="51">
        <v>0</v>
      </c>
    </row>
    <row r="43" spans="1:15" s="103" customFormat="1" ht="12.75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190">
        <f t="shared" si="0"/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100" t="s">
        <v>36</v>
      </c>
    </row>
    <row r="44" spans="1:14" ht="12.75">
      <c r="A44" s="54">
        <v>35</v>
      </c>
      <c r="B44" s="51" t="s">
        <v>256</v>
      </c>
      <c r="C44" s="51">
        <v>37</v>
      </c>
      <c r="D44" s="51">
        <v>37</v>
      </c>
      <c r="E44" s="51">
        <v>37</v>
      </c>
      <c r="F44" s="51">
        <v>282</v>
      </c>
      <c r="G44" s="51">
        <v>0</v>
      </c>
      <c r="H44" s="190">
        <f t="shared" si="0"/>
        <v>0</v>
      </c>
      <c r="I44" s="51">
        <v>140</v>
      </c>
      <c r="J44" s="51">
        <v>808</v>
      </c>
      <c r="K44" s="51">
        <v>0</v>
      </c>
      <c r="L44" s="51">
        <v>0</v>
      </c>
      <c r="M44" s="51">
        <v>34</v>
      </c>
      <c r="N44" s="51">
        <v>171</v>
      </c>
    </row>
    <row r="45" spans="1:15" ht="12.75">
      <c r="A45" s="54">
        <v>36</v>
      </c>
      <c r="B45" s="51" t="s">
        <v>24</v>
      </c>
      <c r="C45" s="51">
        <v>9</v>
      </c>
      <c r="D45" s="51">
        <v>9</v>
      </c>
      <c r="E45" s="51">
        <v>6</v>
      </c>
      <c r="F45" s="51">
        <v>98</v>
      </c>
      <c r="G45" s="51">
        <v>0</v>
      </c>
      <c r="H45" s="190">
        <f t="shared" si="0"/>
        <v>0</v>
      </c>
      <c r="I45" s="51">
        <v>39</v>
      </c>
      <c r="J45" s="51">
        <v>299</v>
      </c>
      <c r="K45" s="51">
        <v>0</v>
      </c>
      <c r="L45" s="51">
        <v>0</v>
      </c>
      <c r="M45" s="51">
        <v>20</v>
      </c>
      <c r="N45" s="51">
        <v>155</v>
      </c>
      <c r="O45" s="100" t="s">
        <v>36</v>
      </c>
    </row>
    <row r="46" spans="1:14" ht="12.75">
      <c r="A46" s="54">
        <v>37</v>
      </c>
      <c r="B46" s="51" t="s">
        <v>223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190">
        <f t="shared" si="0"/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</row>
    <row r="47" spans="1:14" ht="12.75">
      <c r="A47" s="54">
        <v>38</v>
      </c>
      <c r="B47" s="51" t="s">
        <v>364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190">
        <f>C47-D47-G47</f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</row>
    <row r="48" spans="1:15" ht="12.75">
      <c r="A48" s="54">
        <v>39</v>
      </c>
      <c r="B48" s="57" t="s">
        <v>366</v>
      </c>
      <c r="C48" s="51">
        <v>870</v>
      </c>
      <c r="D48" s="51">
        <v>579</v>
      </c>
      <c r="E48" s="51">
        <v>579</v>
      </c>
      <c r="F48" s="51">
        <v>4285</v>
      </c>
      <c r="G48" s="51">
        <v>231</v>
      </c>
      <c r="H48" s="190">
        <f t="shared" si="0"/>
        <v>60</v>
      </c>
      <c r="I48" s="51">
        <v>579</v>
      </c>
      <c r="J48" s="51">
        <v>4285</v>
      </c>
      <c r="K48" s="51">
        <v>0</v>
      </c>
      <c r="L48" s="51">
        <v>0</v>
      </c>
      <c r="M48" s="51">
        <v>0</v>
      </c>
      <c r="N48" s="51">
        <v>0</v>
      </c>
      <c r="O48" s="100"/>
    </row>
    <row r="49" spans="1:14" s="165" customFormat="1" ht="14.25">
      <c r="A49" s="163"/>
      <c r="B49" s="128" t="s">
        <v>225</v>
      </c>
      <c r="C49" s="128">
        <f aca="true" t="shared" si="3" ref="C49:J49">SUM(C36:C48)</f>
        <v>1599</v>
      </c>
      <c r="D49" s="128">
        <f t="shared" si="3"/>
        <v>1109</v>
      </c>
      <c r="E49" s="128">
        <f t="shared" si="3"/>
        <v>1048</v>
      </c>
      <c r="F49" s="128">
        <f t="shared" si="3"/>
        <v>10521</v>
      </c>
      <c r="G49" s="128">
        <f t="shared" si="3"/>
        <v>362</v>
      </c>
      <c r="H49" s="197">
        <f t="shared" si="3"/>
        <v>128</v>
      </c>
      <c r="I49" s="128">
        <f t="shared" si="3"/>
        <v>22743</v>
      </c>
      <c r="J49" s="128">
        <f t="shared" si="3"/>
        <v>84700</v>
      </c>
      <c r="K49" s="128">
        <f>SUM(K36:K48)</f>
        <v>1</v>
      </c>
      <c r="L49" s="128">
        <f>SUM(L36:L48)</f>
        <v>3</v>
      </c>
      <c r="M49" s="128">
        <f>SUM(M36:M48)</f>
        <v>3757</v>
      </c>
      <c r="N49" s="128">
        <f>SUM(N36:N48)</f>
        <v>17441</v>
      </c>
    </row>
    <row r="50" spans="1:14" s="165" customFormat="1" ht="12.75" customHeight="1">
      <c r="A50" s="163"/>
      <c r="B50" s="87" t="s">
        <v>123</v>
      </c>
      <c r="C50" s="128">
        <f aca="true" t="shared" si="4" ref="C50:N50">C27+C35+C49</f>
        <v>19925</v>
      </c>
      <c r="D50" s="128">
        <f t="shared" si="4"/>
        <v>18645</v>
      </c>
      <c r="E50" s="128">
        <f t="shared" si="4"/>
        <v>18302</v>
      </c>
      <c r="F50" s="128">
        <f t="shared" si="4"/>
        <v>111037</v>
      </c>
      <c r="G50" s="128">
        <f t="shared" si="4"/>
        <v>932</v>
      </c>
      <c r="H50" s="197">
        <f t="shared" si="4"/>
        <v>348</v>
      </c>
      <c r="I50" s="128">
        <f t="shared" si="4"/>
        <v>184313</v>
      </c>
      <c r="J50" s="128">
        <f t="shared" si="4"/>
        <v>652656</v>
      </c>
      <c r="K50" s="128">
        <f t="shared" si="4"/>
        <v>29398</v>
      </c>
      <c r="L50" s="128">
        <f t="shared" si="4"/>
        <v>42142</v>
      </c>
      <c r="M50" s="128">
        <f t="shared" si="4"/>
        <v>30919</v>
      </c>
      <c r="N50" s="128">
        <f t="shared" si="4"/>
        <v>120335</v>
      </c>
    </row>
    <row r="51" spans="1:14" ht="18.75" customHeight="1">
      <c r="A51" s="31"/>
      <c r="B51" s="31"/>
      <c r="C51" s="78"/>
      <c r="D51" s="78"/>
      <c r="E51" s="78"/>
      <c r="F51" s="78"/>
      <c r="G51" s="78"/>
      <c r="H51" s="191"/>
      <c r="I51" s="78"/>
      <c r="J51" s="78">
        <v>0</v>
      </c>
      <c r="K51" s="78"/>
      <c r="L51" s="78"/>
      <c r="M51" s="78"/>
      <c r="N51" s="78"/>
    </row>
    <row r="52" spans="1:14" ht="18.75" customHeight="1">
      <c r="A52" s="31"/>
      <c r="B52" s="31"/>
      <c r="C52" s="78"/>
      <c r="D52" s="78"/>
      <c r="E52" s="78"/>
      <c r="F52" s="78"/>
      <c r="G52" s="78"/>
      <c r="H52" s="191"/>
      <c r="I52" s="78"/>
      <c r="J52" s="78"/>
      <c r="K52" s="78"/>
      <c r="L52" s="78"/>
      <c r="M52" s="78"/>
      <c r="N52" s="78"/>
    </row>
    <row r="53" spans="1:14" ht="18.75" customHeight="1">
      <c r="A53" s="31"/>
      <c r="B53" s="31"/>
      <c r="C53" s="78"/>
      <c r="D53" s="78"/>
      <c r="E53" s="78"/>
      <c r="F53" s="78"/>
      <c r="G53" s="78"/>
      <c r="H53" s="191"/>
      <c r="I53" s="78"/>
      <c r="J53" s="78"/>
      <c r="K53" s="78"/>
      <c r="L53" s="78"/>
      <c r="M53" s="78"/>
      <c r="N53" s="78"/>
    </row>
    <row r="54" spans="1:14" ht="12.75">
      <c r="A54" s="330"/>
      <c r="B54" s="330"/>
      <c r="C54" s="649" t="s">
        <v>428</v>
      </c>
      <c r="D54" s="649"/>
      <c r="E54" s="649"/>
      <c r="F54" s="649"/>
      <c r="G54" s="649"/>
      <c r="H54" s="649"/>
      <c r="I54" s="353" t="s">
        <v>84</v>
      </c>
      <c r="J54" s="355"/>
      <c r="K54" s="634"/>
      <c r="L54" s="634"/>
      <c r="M54" s="355"/>
      <c r="N54" s="339"/>
    </row>
    <row r="55" spans="1:14" ht="12.75">
      <c r="A55" s="331"/>
      <c r="B55" s="331"/>
      <c r="C55" s="278" t="s">
        <v>79</v>
      </c>
      <c r="D55" s="121" t="s">
        <v>197</v>
      </c>
      <c r="E55" s="353" t="s">
        <v>86</v>
      </c>
      <c r="F55" s="354"/>
      <c r="G55" s="278" t="s">
        <v>79</v>
      </c>
      <c r="H55" s="255" t="s">
        <v>79</v>
      </c>
      <c r="I55" s="360" t="s">
        <v>87</v>
      </c>
      <c r="J55" s="314"/>
      <c r="K55" s="353" t="s">
        <v>139</v>
      </c>
      <c r="L55" s="354"/>
      <c r="M55" s="636" t="s">
        <v>143</v>
      </c>
      <c r="N55" s="637"/>
    </row>
    <row r="56" spans="1:14" ht="12.75">
      <c r="A56" s="331" t="s">
        <v>4</v>
      </c>
      <c r="B56" s="331" t="s">
        <v>5</v>
      </c>
      <c r="C56" s="357" t="s">
        <v>88</v>
      </c>
      <c r="D56" s="358" t="s">
        <v>57</v>
      </c>
      <c r="E56" s="358" t="s">
        <v>57</v>
      </c>
      <c r="F56" s="358" t="s">
        <v>89</v>
      </c>
      <c r="G56" s="357" t="s">
        <v>81</v>
      </c>
      <c r="H56" s="268" t="s">
        <v>90</v>
      </c>
      <c r="I56" s="287" t="s">
        <v>91</v>
      </c>
      <c r="J56" s="320"/>
      <c r="K56" s="277" t="s">
        <v>140</v>
      </c>
      <c r="L56" s="361"/>
      <c r="M56" s="639" t="s">
        <v>144</v>
      </c>
      <c r="N56" s="640"/>
    </row>
    <row r="57" spans="1:14" ht="12.75">
      <c r="A57" s="332"/>
      <c r="B57" s="332"/>
      <c r="C57" s="279"/>
      <c r="D57" s="121"/>
      <c r="E57" s="121"/>
      <c r="F57" s="121"/>
      <c r="G57" s="279" t="s">
        <v>82</v>
      </c>
      <c r="H57" s="256" t="s">
        <v>92</v>
      </c>
      <c r="I57" s="358" t="s">
        <v>57</v>
      </c>
      <c r="J57" s="358" t="s">
        <v>89</v>
      </c>
      <c r="K57" s="358" t="s">
        <v>57</v>
      </c>
      <c r="L57" s="358" t="s">
        <v>89</v>
      </c>
      <c r="M57" s="358" t="s">
        <v>76</v>
      </c>
      <c r="N57" s="358" t="s">
        <v>63</v>
      </c>
    </row>
    <row r="58" spans="1:14" ht="15" customHeight="1">
      <c r="A58" s="54">
        <v>40</v>
      </c>
      <c r="B58" s="57" t="s">
        <v>78</v>
      </c>
      <c r="C58" s="116">
        <v>27</v>
      </c>
      <c r="D58" s="116">
        <v>26</v>
      </c>
      <c r="E58" s="116">
        <v>18</v>
      </c>
      <c r="F58" s="116">
        <v>25</v>
      </c>
      <c r="G58" s="116">
        <v>0</v>
      </c>
      <c r="H58" s="190">
        <f aca="true" t="shared" si="5" ref="H58:H65">C58-D58-G58</f>
        <v>1</v>
      </c>
      <c r="I58" s="116">
        <v>113</v>
      </c>
      <c r="J58" s="116">
        <v>99</v>
      </c>
      <c r="K58" s="116">
        <v>0</v>
      </c>
      <c r="L58" s="116">
        <v>0</v>
      </c>
      <c r="M58" s="116">
        <v>0</v>
      </c>
      <c r="N58" s="116">
        <v>0</v>
      </c>
    </row>
    <row r="59" spans="1:14" ht="15" customHeight="1">
      <c r="A59" s="54">
        <v>41</v>
      </c>
      <c r="B59" s="57" t="s">
        <v>278</v>
      </c>
      <c r="C59" s="116">
        <v>81</v>
      </c>
      <c r="D59" s="116">
        <v>76</v>
      </c>
      <c r="E59" s="116">
        <v>75</v>
      </c>
      <c r="F59" s="116">
        <v>126</v>
      </c>
      <c r="G59" s="116">
        <v>0</v>
      </c>
      <c r="H59" s="190">
        <f t="shared" si="5"/>
        <v>5</v>
      </c>
      <c r="I59" s="116">
        <v>1225</v>
      </c>
      <c r="J59" s="116">
        <v>1015</v>
      </c>
      <c r="K59" s="116">
        <v>286</v>
      </c>
      <c r="L59" s="116">
        <v>108</v>
      </c>
      <c r="M59" s="116">
        <v>199</v>
      </c>
      <c r="N59" s="116">
        <v>110</v>
      </c>
    </row>
    <row r="60" spans="1:14" ht="15" customHeight="1">
      <c r="A60" s="54">
        <v>42</v>
      </c>
      <c r="B60" s="57" t="s">
        <v>30</v>
      </c>
      <c r="C60" s="116">
        <v>7</v>
      </c>
      <c r="D60" s="116">
        <v>7</v>
      </c>
      <c r="E60" s="116">
        <v>7</v>
      </c>
      <c r="F60" s="116">
        <v>15</v>
      </c>
      <c r="G60" s="116">
        <v>0</v>
      </c>
      <c r="H60" s="190">
        <f t="shared" si="5"/>
        <v>0</v>
      </c>
      <c r="I60" s="116">
        <v>124</v>
      </c>
      <c r="J60" s="116">
        <v>202</v>
      </c>
      <c r="K60" s="116">
        <v>14</v>
      </c>
      <c r="L60" s="116">
        <v>24</v>
      </c>
      <c r="M60" s="116">
        <v>16</v>
      </c>
      <c r="N60" s="116">
        <v>25</v>
      </c>
    </row>
    <row r="61" spans="1:14" ht="15" customHeight="1">
      <c r="A61" s="54">
        <v>43</v>
      </c>
      <c r="B61" s="57" t="s">
        <v>234</v>
      </c>
      <c r="C61" s="116">
        <v>84</v>
      </c>
      <c r="D61" s="116">
        <v>77</v>
      </c>
      <c r="E61" s="116">
        <v>77</v>
      </c>
      <c r="F61" s="116">
        <v>240</v>
      </c>
      <c r="G61" s="116">
        <v>7</v>
      </c>
      <c r="H61" s="190">
        <f t="shared" si="5"/>
        <v>0</v>
      </c>
      <c r="I61" s="116">
        <v>672</v>
      </c>
      <c r="J61" s="116">
        <v>1425</v>
      </c>
      <c r="K61" s="116">
        <v>62</v>
      </c>
      <c r="L61" s="116">
        <v>62</v>
      </c>
      <c r="M61" s="116">
        <v>132</v>
      </c>
      <c r="N61" s="116">
        <v>243</v>
      </c>
    </row>
    <row r="62" spans="1:14" ht="15" customHeight="1">
      <c r="A62" s="54">
        <v>44</v>
      </c>
      <c r="B62" s="57" t="s">
        <v>29</v>
      </c>
      <c r="C62" s="116">
        <v>84</v>
      </c>
      <c r="D62" s="116">
        <v>84</v>
      </c>
      <c r="E62" s="116">
        <v>84</v>
      </c>
      <c r="F62" s="116">
        <v>250</v>
      </c>
      <c r="G62" s="116">
        <v>0</v>
      </c>
      <c r="H62" s="190">
        <f t="shared" si="5"/>
        <v>0</v>
      </c>
      <c r="I62" s="116">
        <v>1328</v>
      </c>
      <c r="J62" s="116">
        <v>2516</v>
      </c>
      <c r="K62" s="116">
        <v>65</v>
      </c>
      <c r="L62" s="116">
        <v>32</v>
      </c>
      <c r="M62" s="116">
        <v>27</v>
      </c>
      <c r="N62" s="116">
        <v>13</v>
      </c>
    </row>
    <row r="63" spans="1:14" ht="15" customHeight="1">
      <c r="A63" s="54">
        <v>45</v>
      </c>
      <c r="B63" s="57" t="s">
        <v>391</v>
      </c>
      <c r="C63" s="116">
        <v>168</v>
      </c>
      <c r="D63" s="116">
        <v>168</v>
      </c>
      <c r="E63" s="116">
        <v>163</v>
      </c>
      <c r="F63" s="116">
        <v>284</v>
      </c>
      <c r="G63" s="116">
        <v>0</v>
      </c>
      <c r="H63" s="190">
        <f t="shared" si="5"/>
        <v>0</v>
      </c>
      <c r="I63" s="116">
        <v>2653</v>
      </c>
      <c r="J63" s="116">
        <v>3310</v>
      </c>
      <c r="K63" s="116">
        <v>382</v>
      </c>
      <c r="L63" s="116">
        <v>615</v>
      </c>
      <c r="M63" s="116">
        <v>164</v>
      </c>
      <c r="N63" s="116">
        <v>348</v>
      </c>
    </row>
    <row r="64" spans="1:14" ht="15" customHeight="1">
      <c r="A64" s="54">
        <v>46</v>
      </c>
      <c r="B64" s="57" t="s">
        <v>25</v>
      </c>
      <c r="C64" s="116">
        <v>3</v>
      </c>
      <c r="D64" s="116">
        <v>3</v>
      </c>
      <c r="E64" s="116">
        <v>3</v>
      </c>
      <c r="F64" s="116">
        <v>7</v>
      </c>
      <c r="G64" s="116">
        <v>0</v>
      </c>
      <c r="H64" s="190">
        <f t="shared" si="5"/>
        <v>0</v>
      </c>
      <c r="I64" s="116">
        <v>15</v>
      </c>
      <c r="J64" s="116">
        <v>26</v>
      </c>
      <c r="K64" s="116">
        <v>3</v>
      </c>
      <c r="L64" s="116">
        <v>7</v>
      </c>
      <c r="M64" s="116">
        <v>2</v>
      </c>
      <c r="N64" s="116">
        <v>3</v>
      </c>
    </row>
    <row r="65" spans="1:14" ht="15" customHeight="1">
      <c r="A65" s="54">
        <v>47</v>
      </c>
      <c r="B65" s="57" t="s">
        <v>28</v>
      </c>
      <c r="C65" s="116">
        <v>58</v>
      </c>
      <c r="D65" s="116">
        <v>51</v>
      </c>
      <c r="E65" s="116">
        <v>51</v>
      </c>
      <c r="F65" s="116">
        <v>296</v>
      </c>
      <c r="G65" s="116">
        <v>7</v>
      </c>
      <c r="H65" s="190">
        <f t="shared" si="5"/>
        <v>0</v>
      </c>
      <c r="I65" s="116">
        <v>419</v>
      </c>
      <c r="J65" s="116">
        <v>959</v>
      </c>
      <c r="K65" s="116">
        <v>10</v>
      </c>
      <c r="L65" s="116">
        <v>22</v>
      </c>
      <c r="M65" s="116">
        <v>69</v>
      </c>
      <c r="N65" s="116">
        <v>159</v>
      </c>
    </row>
    <row r="66" spans="1:14" s="165" customFormat="1" ht="15" customHeight="1">
      <c r="A66" s="54"/>
      <c r="B66" s="328" t="s">
        <v>123</v>
      </c>
      <c r="C66" s="326">
        <f aca="true" t="shared" si="6" ref="C66:N66">SUM(C58:C65)</f>
        <v>512</v>
      </c>
      <c r="D66" s="326">
        <f t="shared" si="6"/>
        <v>492</v>
      </c>
      <c r="E66" s="326">
        <f t="shared" si="6"/>
        <v>478</v>
      </c>
      <c r="F66" s="326">
        <f t="shared" si="6"/>
        <v>1243</v>
      </c>
      <c r="G66" s="326">
        <f t="shared" si="6"/>
        <v>14</v>
      </c>
      <c r="H66" s="197">
        <f t="shared" si="6"/>
        <v>6</v>
      </c>
      <c r="I66" s="326">
        <f t="shared" si="6"/>
        <v>6549</v>
      </c>
      <c r="J66" s="326">
        <f t="shared" si="6"/>
        <v>9552</v>
      </c>
      <c r="K66" s="326">
        <f t="shared" si="6"/>
        <v>822</v>
      </c>
      <c r="L66" s="326">
        <f t="shared" si="6"/>
        <v>870</v>
      </c>
      <c r="M66" s="326">
        <f t="shared" si="6"/>
        <v>609</v>
      </c>
      <c r="N66" s="326">
        <f t="shared" si="6"/>
        <v>901</v>
      </c>
    </row>
    <row r="67" spans="1:14" ht="15" customHeight="1">
      <c r="A67" s="54"/>
      <c r="B67" s="117" t="s">
        <v>36</v>
      </c>
      <c r="C67" s="116"/>
      <c r="D67" s="116"/>
      <c r="E67" s="116"/>
      <c r="F67" s="116"/>
      <c r="G67" s="116"/>
      <c r="H67" s="190"/>
      <c r="I67" s="116"/>
      <c r="J67" s="116"/>
      <c r="K67" s="116"/>
      <c r="L67" s="116"/>
      <c r="M67" s="116"/>
      <c r="N67" s="116"/>
    </row>
    <row r="68" spans="1:14" ht="15" customHeight="1">
      <c r="A68" s="54">
        <v>48</v>
      </c>
      <c r="B68" s="116" t="s">
        <v>34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90">
        <f>C68-D68-G68</f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</row>
    <row r="69" spans="1:14" ht="15" customHeight="1">
      <c r="A69" s="54">
        <v>49</v>
      </c>
      <c r="B69" s="116" t="s">
        <v>130</v>
      </c>
      <c r="C69" s="116">
        <v>0</v>
      </c>
      <c r="D69" s="116">
        <v>0</v>
      </c>
      <c r="E69" s="116">
        <v>14</v>
      </c>
      <c r="F69" s="116">
        <v>40</v>
      </c>
      <c r="G69" s="116">
        <v>0</v>
      </c>
      <c r="H69" s="190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</row>
    <row r="70" spans="1:14" s="165" customFormat="1" ht="15" customHeight="1">
      <c r="A70" s="325"/>
      <c r="B70" s="328" t="s">
        <v>123</v>
      </c>
      <c r="C70" s="326">
        <f aca="true" t="shared" si="7" ref="C70:L70">SUM(C68:C69)</f>
        <v>0</v>
      </c>
      <c r="D70" s="326">
        <f t="shared" si="7"/>
        <v>0</v>
      </c>
      <c r="E70" s="326">
        <f t="shared" si="7"/>
        <v>14</v>
      </c>
      <c r="F70" s="326">
        <f t="shared" si="7"/>
        <v>40</v>
      </c>
      <c r="G70" s="326">
        <f t="shared" si="7"/>
        <v>0</v>
      </c>
      <c r="H70" s="197">
        <f t="shared" si="7"/>
        <v>0</v>
      </c>
      <c r="I70" s="326">
        <f t="shared" si="7"/>
        <v>0</v>
      </c>
      <c r="J70" s="326">
        <f t="shared" si="7"/>
        <v>0</v>
      </c>
      <c r="K70" s="326">
        <f t="shared" si="7"/>
        <v>0</v>
      </c>
      <c r="L70" s="326">
        <f t="shared" si="7"/>
        <v>0</v>
      </c>
      <c r="M70" s="326">
        <f>SUM(M68:M69)</f>
        <v>0</v>
      </c>
      <c r="N70" s="326">
        <f>SUM(N68:N69)</f>
        <v>0</v>
      </c>
    </row>
    <row r="71" spans="1:14" s="165" customFormat="1" ht="15" customHeight="1">
      <c r="A71" s="325"/>
      <c r="B71" s="328" t="s">
        <v>35</v>
      </c>
      <c r="C71" s="326">
        <f aca="true" t="shared" si="8" ref="C71:N71">C50+C66+C70</f>
        <v>20437</v>
      </c>
      <c r="D71" s="326">
        <f t="shared" si="8"/>
        <v>19137</v>
      </c>
      <c r="E71" s="326">
        <f t="shared" si="8"/>
        <v>18794</v>
      </c>
      <c r="F71" s="326">
        <f t="shared" si="8"/>
        <v>112320</v>
      </c>
      <c r="G71" s="326">
        <f t="shared" si="8"/>
        <v>946</v>
      </c>
      <c r="H71" s="197">
        <f t="shared" si="8"/>
        <v>354</v>
      </c>
      <c r="I71" s="326">
        <f t="shared" si="8"/>
        <v>190862</v>
      </c>
      <c r="J71" s="326">
        <f t="shared" si="8"/>
        <v>662208</v>
      </c>
      <c r="K71" s="326">
        <f t="shared" si="8"/>
        <v>30220</v>
      </c>
      <c r="L71" s="326">
        <f t="shared" si="8"/>
        <v>43012</v>
      </c>
      <c r="M71" s="326">
        <f t="shared" si="8"/>
        <v>31528</v>
      </c>
      <c r="N71" s="326">
        <f t="shared" si="8"/>
        <v>121236</v>
      </c>
    </row>
    <row r="78" spans="3:4" ht="12.75">
      <c r="C78" s="10">
        <v>13</v>
      </c>
      <c r="D78" s="15" t="s">
        <v>380</v>
      </c>
    </row>
    <row r="79" spans="3:4" ht="12.75">
      <c r="C79" s="15">
        <v>13</v>
      </c>
      <c r="D79" s="15" t="s">
        <v>407</v>
      </c>
    </row>
  </sheetData>
  <sheetProtection/>
  <mergeCells count="8">
    <mergeCell ref="C4:H4"/>
    <mergeCell ref="C54:H54"/>
    <mergeCell ref="M55:N55"/>
    <mergeCell ref="M56:N56"/>
    <mergeCell ref="K4:L4"/>
    <mergeCell ref="K54:L54"/>
    <mergeCell ref="M5:N5"/>
    <mergeCell ref="M6:N6"/>
  </mergeCells>
  <printOptions gridLines="1" horizontalCentered="1"/>
  <pageMargins left="0.75" right="0.75" top="0.38" bottom="1.22" header="0.28" footer="0.5"/>
  <pageSetup blackAndWhite="1" horizontalDpi="300" verticalDpi="3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5"/>
  <sheetViews>
    <sheetView zoomScale="85" zoomScaleNormal="85" zoomScalePageLayoutView="0" workbookViewId="0" topLeftCell="F49">
      <selection activeCell="L61" sqref="L61"/>
    </sheetView>
  </sheetViews>
  <sheetFormatPr defaultColWidth="9.140625" defaultRowHeight="12.75"/>
  <cols>
    <col min="1" max="1" width="3.7109375" style="103" customWidth="1"/>
    <col min="2" max="2" width="24.00390625" style="103" customWidth="1"/>
    <col min="3" max="3" width="10.28125" style="22" customWidth="1"/>
    <col min="4" max="4" width="13.140625" style="22" customWidth="1"/>
    <col min="5" max="5" width="10.28125" style="22" customWidth="1"/>
    <col min="6" max="6" width="9.57421875" style="22" customWidth="1"/>
    <col min="7" max="7" width="9.28125" style="22" bestFit="1" customWidth="1"/>
    <col min="8" max="8" width="9.28125" style="99" bestFit="1" customWidth="1"/>
    <col min="9" max="9" width="9.8515625" style="22" customWidth="1"/>
    <col min="10" max="10" width="11.28125" style="22" bestFit="1" customWidth="1"/>
    <col min="11" max="11" width="9.28125" style="22" bestFit="1" customWidth="1"/>
    <col min="12" max="12" width="11.28125" style="22" bestFit="1" customWidth="1"/>
    <col min="13" max="13" width="9.28125" style="22" bestFit="1" customWidth="1"/>
    <col min="14" max="14" width="8.8515625" style="22" customWidth="1"/>
    <col min="15" max="16384" width="9.140625" style="103" customWidth="1"/>
  </cols>
  <sheetData>
    <row r="1" spans="1:5" ht="15">
      <c r="A1" s="105"/>
      <c r="B1" s="105"/>
      <c r="C1" s="21"/>
      <c r="D1" s="21"/>
      <c r="E1" s="21"/>
    </row>
    <row r="2" spans="3:10" ht="15">
      <c r="C2" s="21"/>
      <c r="D2" s="21"/>
      <c r="H2" s="192"/>
      <c r="I2" s="23"/>
      <c r="J2" s="23"/>
    </row>
    <row r="3" spans="3:10" ht="15">
      <c r="C3" s="21"/>
      <c r="D3" s="21"/>
      <c r="H3" s="192"/>
      <c r="I3" s="23"/>
      <c r="J3" s="23"/>
    </row>
    <row r="4" spans="1:10" ht="12.75">
      <c r="A4" s="205" t="s">
        <v>122</v>
      </c>
      <c r="B4" s="205" t="s">
        <v>5</v>
      </c>
      <c r="C4" s="649" t="s">
        <v>428</v>
      </c>
      <c r="D4" s="649"/>
      <c r="E4" s="649"/>
      <c r="F4" s="649"/>
      <c r="G4" s="649"/>
      <c r="H4" s="649"/>
      <c r="I4" s="23" t="s">
        <v>108</v>
      </c>
      <c r="J4" s="23"/>
    </row>
    <row r="5" spans="1:14" ht="12.75">
      <c r="A5" s="222" t="s">
        <v>6</v>
      </c>
      <c r="B5" s="223"/>
      <c r="C5" s="224" t="s">
        <v>79</v>
      </c>
      <c r="D5" s="144" t="s">
        <v>197</v>
      </c>
      <c r="E5" s="216" t="s">
        <v>109</v>
      </c>
      <c r="F5" s="218"/>
      <c r="G5" s="177" t="s">
        <v>79</v>
      </c>
      <c r="H5" s="261" t="s">
        <v>79</v>
      </c>
      <c r="I5" s="23" t="s">
        <v>85</v>
      </c>
      <c r="J5" s="229"/>
      <c r="K5" s="214" t="s">
        <v>139</v>
      </c>
      <c r="L5" s="213"/>
      <c r="M5" s="626" t="s">
        <v>143</v>
      </c>
      <c r="N5" s="627"/>
    </row>
    <row r="6" spans="1:14" ht="12.75">
      <c r="A6" s="223"/>
      <c r="B6" s="222"/>
      <c r="C6" s="225" t="s">
        <v>80</v>
      </c>
      <c r="D6" s="177" t="s">
        <v>76</v>
      </c>
      <c r="E6" s="177" t="s">
        <v>76</v>
      </c>
      <c r="F6" s="177" t="s">
        <v>63</v>
      </c>
      <c r="G6" s="225" t="s">
        <v>81</v>
      </c>
      <c r="H6" s="262" t="s">
        <v>90</v>
      </c>
      <c r="I6" s="23" t="s">
        <v>110</v>
      </c>
      <c r="J6" s="23"/>
      <c r="K6" s="230" t="s">
        <v>140</v>
      </c>
      <c r="L6" s="231"/>
      <c r="M6" s="657" t="s">
        <v>144</v>
      </c>
      <c r="N6" s="658"/>
    </row>
    <row r="7" spans="1:14" ht="12.75">
      <c r="A7" s="206"/>
      <c r="B7" s="206"/>
      <c r="C7" s="226"/>
      <c r="D7" s="226"/>
      <c r="E7" s="226"/>
      <c r="F7" s="226" t="s">
        <v>36</v>
      </c>
      <c r="G7" s="226" t="s">
        <v>82</v>
      </c>
      <c r="H7" s="263" t="s">
        <v>92</v>
      </c>
      <c r="I7" s="189" t="s">
        <v>76</v>
      </c>
      <c r="J7" s="189" t="s">
        <v>63</v>
      </c>
      <c r="K7" s="189" t="s">
        <v>57</v>
      </c>
      <c r="L7" s="189" t="s">
        <v>89</v>
      </c>
      <c r="M7" s="189" t="s">
        <v>76</v>
      </c>
      <c r="N7" s="189" t="s">
        <v>63</v>
      </c>
    </row>
    <row r="8" spans="1:14" ht="12.75">
      <c r="A8" s="54">
        <v>1</v>
      </c>
      <c r="B8" s="57" t="s">
        <v>7</v>
      </c>
      <c r="C8" s="57">
        <v>15</v>
      </c>
      <c r="D8" s="57">
        <v>11</v>
      </c>
      <c r="E8" s="57">
        <v>11</v>
      </c>
      <c r="F8" s="57">
        <v>8</v>
      </c>
      <c r="G8" s="57">
        <v>4</v>
      </c>
      <c r="H8" s="190">
        <f>C8-D8-G8</f>
        <v>0</v>
      </c>
      <c r="I8" s="57">
        <v>483</v>
      </c>
      <c r="J8" s="57">
        <v>465</v>
      </c>
      <c r="K8" s="57">
        <v>102</v>
      </c>
      <c r="L8" s="57">
        <v>74</v>
      </c>
      <c r="M8" s="57">
        <v>34</v>
      </c>
      <c r="N8" s="57">
        <v>28</v>
      </c>
    </row>
    <row r="9" spans="1:14" ht="12.75">
      <c r="A9" s="54">
        <v>2</v>
      </c>
      <c r="B9" s="57" t="s">
        <v>8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190">
        <f aca="true" t="shared" si="0" ref="H9:H48">C9-D9-G9</f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</row>
    <row r="10" spans="1:14" ht="12.75">
      <c r="A10" s="54">
        <v>3</v>
      </c>
      <c r="B10" s="57" t="s">
        <v>9</v>
      </c>
      <c r="C10" s="57">
        <v>78</v>
      </c>
      <c r="D10" s="57">
        <v>78</v>
      </c>
      <c r="E10" s="57">
        <v>78</v>
      </c>
      <c r="F10" s="57">
        <v>297</v>
      </c>
      <c r="G10" s="57">
        <v>0</v>
      </c>
      <c r="H10" s="190">
        <f t="shared" si="0"/>
        <v>0</v>
      </c>
      <c r="I10" s="57">
        <v>1264</v>
      </c>
      <c r="J10" s="57">
        <v>4019</v>
      </c>
      <c r="K10" s="57">
        <v>474</v>
      </c>
      <c r="L10" s="57">
        <v>1293</v>
      </c>
      <c r="M10" s="57">
        <v>473</v>
      </c>
      <c r="N10" s="57">
        <v>1764</v>
      </c>
    </row>
    <row r="11" spans="1:14" ht="12.75">
      <c r="A11" s="54">
        <v>4</v>
      </c>
      <c r="B11" s="57" t="s">
        <v>10</v>
      </c>
      <c r="C11" s="57">
        <v>48</v>
      </c>
      <c r="D11" s="57">
        <v>45</v>
      </c>
      <c r="E11" s="57">
        <v>42</v>
      </c>
      <c r="F11" s="57">
        <v>28</v>
      </c>
      <c r="G11" s="57">
        <v>0</v>
      </c>
      <c r="H11" s="190">
        <f t="shared" si="0"/>
        <v>3</v>
      </c>
      <c r="I11" s="57">
        <v>1921</v>
      </c>
      <c r="J11" s="57">
        <v>2511</v>
      </c>
      <c r="K11" s="57">
        <v>523</v>
      </c>
      <c r="L11" s="57">
        <v>622</v>
      </c>
      <c r="M11" s="57">
        <v>417</v>
      </c>
      <c r="N11" s="57">
        <v>435</v>
      </c>
    </row>
    <row r="12" spans="1:14" ht="12.75">
      <c r="A12" s="54">
        <v>5</v>
      </c>
      <c r="B12" s="57" t="s">
        <v>11</v>
      </c>
      <c r="C12" s="57">
        <v>4</v>
      </c>
      <c r="D12" s="57">
        <v>4</v>
      </c>
      <c r="E12" s="57">
        <v>4</v>
      </c>
      <c r="F12" s="57">
        <v>11</v>
      </c>
      <c r="G12" s="57">
        <v>0</v>
      </c>
      <c r="H12" s="190">
        <f t="shared" si="0"/>
        <v>0</v>
      </c>
      <c r="I12" s="57">
        <v>52</v>
      </c>
      <c r="J12" s="57">
        <v>42</v>
      </c>
      <c r="K12" s="57">
        <v>10</v>
      </c>
      <c r="L12" s="57">
        <v>5</v>
      </c>
      <c r="M12" s="57">
        <v>17</v>
      </c>
      <c r="N12" s="57">
        <v>7</v>
      </c>
    </row>
    <row r="13" spans="1:14" ht="12.75">
      <c r="A13" s="54">
        <v>6</v>
      </c>
      <c r="B13" s="57" t="s">
        <v>12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190">
        <f t="shared" si="0"/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</row>
    <row r="14" spans="1:14" ht="12.75">
      <c r="A14" s="54">
        <v>7</v>
      </c>
      <c r="B14" s="57" t="s">
        <v>13</v>
      </c>
      <c r="C14" s="57">
        <v>158</v>
      </c>
      <c r="D14" s="57">
        <v>158</v>
      </c>
      <c r="E14" s="57">
        <v>158</v>
      </c>
      <c r="F14" s="57">
        <v>84</v>
      </c>
      <c r="G14" s="57">
        <v>0</v>
      </c>
      <c r="H14" s="190">
        <f t="shared" si="0"/>
        <v>0</v>
      </c>
      <c r="I14" s="57">
        <v>1119</v>
      </c>
      <c r="J14" s="57">
        <v>653</v>
      </c>
      <c r="K14" s="57">
        <v>303</v>
      </c>
      <c r="L14" s="57">
        <v>131</v>
      </c>
      <c r="M14" s="57">
        <v>109</v>
      </c>
      <c r="N14" s="57">
        <v>54</v>
      </c>
    </row>
    <row r="15" spans="1:14" ht="12.75">
      <c r="A15" s="54">
        <v>8</v>
      </c>
      <c r="B15" s="57" t="s">
        <v>162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190">
        <f t="shared" si="0"/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ht="12.75">
      <c r="A16" s="54">
        <v>9</v>
      </c>
      <c r="B16" s="57" t="s">
        <v>14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190">
        <f t="shared" si="0"/>
        <v>0</v>
      </c>
      <c r="I16" s="57">
        <v>43</v>
      </c>
      <c r="J16" s="57">
        <v>36</v>
      </c>
      <c r="K16" s="57">
        <v>17</v>
      </c>
      <c r="L16" s="57">
        <v>8</v>
      </c>
      <c r="M16" s="57">
        <v>11</v>
      </c>
      <c r="N16" s="57">
        <v>7</v>
      </c>
    </row>
    <row r="17" spans="1:14" ht="12.75">
      <c r="A17" s="54">
        <v>10</v>
      </c>
      <c r="B17" s="57" t="s">
        <v>15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190">
        <f t="shared" si="0"/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5" ht="12.75">
      <c r="A18" s="54">
        <v>11</v>
      </c>
      <c r="B18" s="57" t="s">
        <v>16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190">
        <f t="shared" si="0"/>
        <v>0</v>
      </c>
      <c r="I18" s="57">
        <v>5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22"/>
    </row>
    <row r="19" spans="1:14" ht="12.75">
      <c r="A19" s="54">
        <v>12</v>
      </c>
      <c r="B19" s="57" t="s">
        <v>17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190">
        <f t="shared" si="0"/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</row>
    <row r="20" spans="1:14" ht="12.75">
      <c r="A20" s="54">
        <v>13</v>
      </c>
      <c r="B20" s="57" t="s">
        <v>164</v>
      </c>
      <c r="C20" s="57">
        <v>3</v>
      </c>
      <c r="D20" s="57">
        <v>3</v>
      </c>
      <c r="E20" s="57">
        <v>3</v>
      </c>
      <c r="F20" s="57">
        <v>6</v>
      </c>
      <c r="G20" s="57">
        <v>0</v>
      </c>
      <c r="H20" s="190">
        <f t="shared" si="0"/>
        <v>0</v>
      </c>
      <c r="I20" s="57">
        <v>8</v>
      </c>
      <c r="J20" s="57">
        <v>20</v>
      </c>
      <c r="K20" s="57">
        <v>2</v>
      </c>
      <c r="L20" s="57">
        <v>4</v>
      </c>
      <c r="M20" s="57">
        <v>0</v>
      </c>
      <c r="N20" s="57">
        <v>0</v>
      </c>
    </row>
    <row r="21" spans="1:14" ht="12.75">
      <c r="A21" s="54">
        <v>14</v>
      </c>
      <c r="B21" s="57" t="s">
        <v>77</v>
      </c>
      <c r="C21" s="57">
        <v>16</v>
      </c>
      <c r="D21" s="57">
        <v>16</v>
      </c>
      <c r="E21" s="57">
        <v>16</v>
      </c>
      <c r="F21" s="57">
        <v>47</v>
      </c>
      <c r="G21" s="57">
        <v>0</v>
      </c>
      <c r="H21" s="190">
        <f t="shared" si="0"/>
        <v>0</v>
      </c>
      <c r="I21" s="57">
        <v>9</v>
      </c>
      <c r="J21" s="57">
        <v>47</v>
      </c>
      <c r="K21" s="57">
        <v>0</v>
      </c>
      <c r="L21" s="57">
        <v>0</v>
      </c>
      <c r="M21" s="57">
        <v>4</v>
      </c>
      <c r="N21" s="57">
        <v>8</v>
      </c>
    </row>
    <row r="22" spans="1:14" ht="12.75">
      <c r="A22" s="54">
        <v>15</v>
      </c>
      <c r="B22" s="57" t="s">
        <v>105</v>
      </c>
      <c r="C22" s="57">
        <v>32</v>
      </c>
      <c r="D22" s="57">
        <v>32</v>
      </c>
      <c r="E22" s="57">
        <v>32</v>
      </c>
      <c r="F22" s="57">
        <v>75</v>
      </c>
      <c r="G22" s="57">
        <v>0</v>
      </c>
      <c r="H22" s="190">
        <f t="shared" si="0"/>
        <v>0</v>
      </c>
      <c r="I22" s="57">
        <v>312</v>
      </c>
      <c r="J22" s="57">
        <v>714</v>
      </c>
      <c r="K22" s="57">
        <v>38</v>
      </c>
      <c r="L22" s="57">
        <v>65</v>
      </c>
      <c r="M22" s="57">
        <v>78</v>
      </c>
      <c r="N22" s="57">
        <v>179</v>
      </c>
    </row>
    <row r="23" spans="1:14" ht="12.75">
      <c r="A23" s="54">
        <v>16</v>
      </c>
      <c r="B23" s="57" t="s">
        <v>20</v>
      </c>
      <c r="C23" s="57">
        <v>51</v>
      </c>
      <c r="D23" s="57">
        <v>48</v>
      </c>
      <c r="E23" s="57">
        <v>48</v>
      </c>
      <c r="F23" s="57">
        <v>45</v>
      </c>
      <c r="G23" s="57">
        <v>3</v>
      </c>
      <c r="H23" s="190">
        <f t="shared" si="0"/>
        <v>0</v>
      </c>
      <c r="I23" s="57">
        <v>354</v>
      </c>
      <c r="J23" s="57">
        <v>337</v>
      </c>
      <c r="K23" s="57">
        <v>81</v>
      </c>
      <c r="L23" s="57">
        <v>78</v>
      </c>
      <c r="M23" s="57">
        <v>73</v>
      </c>
      <c r="N23" s="57">
        <v>45</v>
      </c>
    </row>
    <row r="24" spans="1:14" ht="12.75">
      <c r="A24" s="54">
        <v>17</v>
      </c>
      <c r="B24" s="57" t="s">
        <v>21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190">
        <f t="shared" si="0"/>
        <v>0</v>
      </c>
      <c r="I24" s="57">
        <v>159</v>
      </c>
      <c r="J24" s="57">
        <v>180</v>
      </c>
      <c r="K24" s="57">
        <v>22</v>
      </c>
      <c r="L24" s="57">
        <v>15</v>
      </c>
      <c r="M24" s="57">
        <v>2</v>
      </c>
      <c r="N24" s="57">
        <v>2</v>
      </c>
    </row>
    <row r="25" spans="1:14" ht="12.75">
      <c r="A25" s="54">
        <v>18</v>
      </c>
      <c r="B25" s="57" t="s">
        <v>19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190">
        <f t="shared" si="0"/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 ht="12.75">
      <c r="A26" s="54">
        <v>19</v>
      </c>
      <c r="B26" s="57" t="s">
        <v>124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190">
        <f t="shared" si="0"/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232" customFormat="1" ht="14.25">
      <c r="A27" s="203"/>
      <c r="B27" s="164" t="s">
        <v>224</v>
      </c>
      <c r="C27" s="164">
        <f aca="true" t="shared" si="1" ref="C27:N27">SUM(C8:C26)</f>
        <v>405</v>
      </c>
      <c r="D27" s="164">
        <f t="shared" si="1"/>
        <v>395</v>
      </c>
      <c r="E27" s="164">
        <f t="shared" si="1"/>
        <v>392</v>
      </c>
      <c r="F27" s="164">
        <f t="shared" si="1"/>
        <v>601</v>
      </c>
      <c r="G27" s="164">
        <f t="shared" si="1"/>
        <v>7</v>
      </c>
      <c r="H27" s="197">
        <f t="shared" si="1"/>
        <v>3</v>
      </c>
      <c r="I27" s="164">
        <f t="shared" si="1"/>
        <v>5729</v>
      </c>
      <c r="J27" s="164">
        <f t="shared" si="1"/>
        <v>9024</v>
      </c>
      <c r="K27" s="164">
        <f t="shared" si="1"/>
        <v>1572</v>
      </c>
      <c r="L27" s="164">
        <f t="shared" si="1"/>
        <v>2295</v>
      </c>
      <c r="M27" s="164">
        <f t="shared" si="1"/>
        <v>1218</v>
      </c>
      <c r="N27" s="164">
        <f t="shared" si="1"/>
        <v>2529</v>
      </c>
    </row>
    <row r="28" spans="1:14" ht="12.75">
      <c r="A28" s="54">
        <v>20</v>
      </c>
      <c r="B28" s="57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190">
        <f t="shared" si="0"/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</row>
    <row r="29" spans="1:14" ht="12.75">
      <c r="A29" s="54">
        <v>21</v>
      </c>
      <c r="B29" s="57" t="s">
        <v>269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190">
        <f t="shared" si="0"/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</row>
    <row r="30" spans="1:14" ht="12.75">
      <c r="A30" s="54">
        <v>22</v>
      </c>
      <c r="B30" s="57" t="s">
        <v>169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190">
        <f t="shared" si="0"/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</row>
    <row r="31" spans="1:14" ht="12.75">
      <c r="A31" s="54">
        <v>23</v>
      </c>
      <c r="B31" s="57" t="s">
        <v>22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190">
        <f t="shared" si="0"/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</row>
    <row r="32" spans="1:14" ht="12.75">
      <c r="A32" s="54">
        <v>24</v>
      </c>
      <c r="B32" s="57" t="s">
        <v>141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190">
        <f t="shared" si="0"/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</row>
    <row r="33" spans="1:14" ht="12.75">
      <c r="A33" s="54">
        <v>25</v>
      </c>
      <c r="B33" s="57" t="s">
        <v>18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190">
        <f t="shared" si="0"/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</row>
    <row r="34" spans="1:14" ht="12.75">
      <c r="A34" s="54">
        <v>26</v>
      </c>
      <c r="B34" s="57" t="s">
        <v>104</v>
      </c>
      <c r="C34" s="57">
        <v>341</v>
      </c>
      <c r="D34" s="57">
        <v>341</v>
      </c>
      <c r="E34" s="57">
        <v>340</v>
      </c>
      <c r="F34" s="57">
        <v>952</v>
      </c>
      <c r="G34" s="57">
        <v>0</v>
      </c>
      <c r="H34" s="190">
        <f t="shared" si="0"/>
        <v>0</v>
      </c>
      <c r="I34" s="57">
        <v>3652</v>
      </c>
      <c r="J34" s="57">
        <v>8952</v>
      </c>
      <c r="K34" s="57">
        <v>571</v>
      </c>
      <c r="L34" s="57">
        <v>1271</v>
      </c>
      <c r="M34" s="57">
        <v>462</v>
      </c>
      <c r="N34" s="57">
        <v>981</v>
      </c>
    </row>
    <row r="35" spans="1:14" s="232" customFormat="1" ht="14.25">
      <c r="A35" s="203"/>
      <c r="B35" s="164" t="s">
        <v>226</v>
      </c>
      <c r="C35" s="164">
        <f aca="true" t="shared" si="2" ref="C35:N35">SUM(C28:C34)</f>
        <v>341</v>
      </c>
      <c r="D35" s="164">
        <f t="shared" si="2"/>
        <v>341</v>
      </c>
      <c r="E35" s="164">
        <f t="shared" si="2"/>
        <v>340</v>
      </c>
      <c r="F35" s="164">
        <f t="shared" si="2"/>
        <v>952</v>
      </c>
      <c r="G35" s="164">
        <f t="shared" si="2"/>
        <v>0</v>
      </c>
      <c r="H35" s="197">
        <f t="shared" si="2"/>
        <v>0</v>
      </c>
      <c r="I35" s="164">
        <f t="shared" si="2"/>
        <v>3652</v>
      </c>
      <c r="J35" s="164">
        <f t="shared" si="2"/>
        <v>8952</v>
      </c>
      <c r="K35" s="164">
        <f t="shared" si="2"/>
        <v>571</v>
      </c>
      <c r="L35" s="164">
        <f t="shared" si="2"/>
        <v>1271</v>
      </c>
      <c r="M35" s="164">
        <f t="shared" si="2"/>
        <v>462</v>
      </c>
      <c r="N35" s="164">
        <f t="shared" si="2"/>
        <v>981</v>
      </c>
    </row>
    <row r="36" spans="1:14" ht="12.75">
      <c r="A36" s="54">
        <v>27</v>
      </c>
      <c r="B36" s="57" t="s">
        <v>163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190">
        <f t="shared" si="0"/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</row>
    <row r="37" spans="1:14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190">
        <f t="shared" si="0"/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</row>
    <row r="38" spans="1:14" ht="12.75">
      <c r="A38" s="54">
        <v>29</v>
      </c>
      <c r="B38" s="57" t="s">
        <v>218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190">
        <f t="shared" si="0"/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</row>
    <row r="39" spans="1:14" ht="12.75">
      <c r="A39" s="54">
        <v>30</v>
      </c>
      <c r="B39" s="57" t="s">
        <v>236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190">
        <f t="shared" si="0"/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</row>
    <row r="40" spans="1:14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190">
        <f t="shared" si="0"/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</row>
    <row r="41" spans="1:14" ht="12.75">
      <c r="A41" s="54">
        <v>32</v>
      </c>
      <c r="B41" s="57" t="s">
        <v>220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190">
        <f t="shared" si="0"/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</row>
    <row r="42" spans="1:14" ht="12.75">
      <c r="A42" s="110">
        <v>33</v>
      </c>
      <c r="B42" s="113" t="s">
        <v>363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190">
        <f>C42-D42-G42</f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</row>
    <row r="43" spans="1:14" ht="12.75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190">
        <f t="shared" si="0"/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</row>
    <row r="44" spans="1:14" ht="12.75">
      <c r="A44" s="54">
        <v>35</v>
      </c>
      <c r="B44" s="51" t="s">
        <v>256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190">
        <f t="shared" si="0"/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</row>
    <row r="45" spans="1:14" ht="12.75">
      <c r="A45" s="54">
        <v>36</v>
      </c>
      <c r="B45" s="51" t="s">
        <v>24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190">
        <f t="shared" si="0"/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</row>
    <row r="46" spans="1:14" ht="12.75">
      <c r="A46" s="54">
        <v>37</v>
      </c>
      <c r="B46" s="51" t="s">
        <v>223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190">
        <f t="shared" si="0"/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</row>
    <row r="47" spans="1:14" ht="12.75">
      <c r="A47" s="54">
        <v>38</v>
      </c>
      <c r="B47" s="51" t="s">
        <v>364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190">
        <f>C47-D47-G47</f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</row>
    <row r="48" spans="1:14" ht="12.75">
      <c r="A48" s="54">
        <v>39</v>
      </c>
      <c r="B48" s="57" t="s">
        <v>366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190">
        <f t="shared" si="0"/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</row>
    <row r="49" spans="1:14" s="232" customFormat="1" ht="14.25">
      <c r="A49" s="203"/>
      <c r="B49" s="164" t="s">
        <v>225</v>
      </c>
      <c r="C49" s="164">
        <f aca="true" t="shared" si="3" ref="C49:N49">SUM(C36:C48)</f>
        <v>0</v>
      </c>
      <c r="D49" s="164">
        <f t="shared" si="3"/>
        <v>0</v>
      </c>
      <c r="E49" s="164">
        <f t="shared" si="3"/>
        <v>0</v>
      </c>
      <c r="F49" s="164">
        <f t="shared" si="3"/>
        <v>0</v>
      </c>
      <c r="G49" s="164">
        <f t="shared" si="3"/>
        <v>0</v>
      </c>
      <c r="H49" s="197">
        <f t="shared" si="3"/>
        <v>0</v>
      </c>
      <c r="I49" s="164">
        <f t="shared" si="3"/>
        <v>0</v>
      </c>
      <c r="J49" s="164">
        <f t="shared" si="3"/>
        <v>0</v>
      </c>
      <c r="K49" s="164">
        <f t="shared" si="3"/>
        <v>0</v>
      </c>
      <c r="L49" s="164">
        <f t="shared" si="3"/>
        <v>0</v>
      </c>
      <c r="M49" s="164">
        <f t="shared" si="3"/>
        <v>0</v>
      </c>
      <c r="N49" s="164">
        <f t="shared" si="3"/>
        <v>0</v>
      </c>
    </row>
    <row r="50" spans="1:14" s="232" customFormat="1" ht="12.75" customHeight="1">
      <c r="A50" s="203"/>
      <c r="B50" s="204" t="s">
        <v>123</v>
      </c>
      <c r="C50" s="164">
        <f aca="true" t="shared" si="4" ref="C50:N50">C27+C35+C49</f>
        <v>746</v>
      </c>
      <c r="D50" s="164">
        <f t="shared" si="4"/>
        <v>736</v>
      </c>
      <c r="E50" s="164">
        <f t="shared" si="4"/>
        <v>732</v>
      </c>
      <c r="F50" s="164">
        <f t="shared" si="4"/>
        <v>1553</v>
      </c>
      <c r="G50" s="164">
        <f t="shared" si="4"/>
        <v>7</v>
      </c>
      <c r="H50" s="197">
        <f t="shared" si="4"/>
        <v>3</v>
      </c>
      <c r="I50" s="164">
        <f t="shared" si="4"/>
        <v>9381</v>
      </c>
      <c r="J50" s="164">
        <f t="shared" si="4"/>
        <v>17976</v>
      </c>
      <c r="K50" s="164">
        <f t="shared" si="4"/>
        <v>2143</v>
      </c>
      <c r="L50" s="164">
        <f t="shared" si="4"/>
        <v>3566</v>
      </c>
      <c r="M50" s="164">
        <f t="shared" si="4"/>
        <v>1680</v>
      </c>
      <c r="N50" s="164">
        <f t="shared" si="4"/>
        <v>3510</v>
      </c>
    </row>
    <row r="51" spans="2:10" ht="19.5" customHeight="1">
      <c r="B51" s="105"/>
      <c r="C51" s="23"/>
      <c r="D51" s="23"/>
      <c r="E51" s="23"/>
      <c r="F51" s="23"/>
      <c r="G51" s="23"/>
      <c r="H51" s="192"/>
      <c r="I51" s="23"/>
      <c r="J51" s="23"/>
    </row>
    <row r="52" ht="19.5" customHeight="1">
      <c r="B52" s="105"/>
    </row>
    <row r="53" ht="19.5" customHeight="1">
      <c r="B53" s="105"/>
    </row>
    <row r="54" spans="1:14" ht="19.5" customHeight="1">
      <c r="A54" s="299" t="s">
        <v>122</v>
      </c>
      <c r="B54" s="299" t="s">
        <v>5</v>
      </c>
      <c r="C54" s="649" t="s">
        <v>428</v>
      </c>
      <c r="D54" s="649"/>
      <c r="E54" s="649"/>
      <c r="F54" s="649"/>
      <c r="G54" s="649"/>
      <c r="H54" s="649"/>
      <c r="I54" s="340" t="s">
        <v>108</v>
      </c>
      <c r="J54" s="341"/>
      <c r="K54" s="342"/>
      <c r="L54" s="342"/>
      <c r="M54" s="342"/>
      <c r="N54" s="343"/>
    </row>
    <row r="55" spans="1:14" ht="12.75">
      <c r="A55" s="301" t="s">
        <v>6</v>
      </c>
      <c r="B55" s="344"/>
      <c r="C55" s="345" t="s">
        <v>79</v>
      </c>
      <c r="D55" s="306" t="s">
        <v>197</v>
      </c>
      <c r="E55" s="362" t="s">
        <v>109</v>
      </c>
      <c r="F55" s="363"/>
      <c r="G55" s="300" t="s">
        <v>79</v>
      </c>
      <c r="H55" s="261" t="s">
        <v>79</v>
      </c>
      <c r="I55" s="346" t="s">
        <v>85</v>
      </c>
      <c r="J55" s="347"/>
      <c r="K55" s="346" t="s">
        <v>139</v>
      </c>
      <c r="L55" s="304"/>
      <c r="M55" s="614" t="s">
        <v>143</v>
      </c>
      <c r="N55" s="615"/>
    </row>
    <row r="56" spans="1:14" ht="12.75">
      <c r="A56" s="344"/>
      <c r="B56" s="301"/>
      <c r="C56" s="302" t="s">
        <v>80</v>
      </c>
      <c r="D56" s="300" t="s">
        <v>76</v>
      </c>
      <c r="E56" s="300" t="s">
        <v>76</v>
      </c>
      <c r="F56" s="300" t="s">
        <v>63</v>
      </c>
      <c r="G56" s="302" t="s">
        <v>81</v>
      </c>
      <c r="H56" s="262" t="s">
        <v>90</v>
      </c>
      <c r="I56" s="348" t="s">
        <v>110</v>
      </c>
      <c r="J56" s="349"/>
      <c r="K56" s="364" t="s">
        <v>140</v>
      </c>
      <c r="L56" s="365"/>
      <c r="M56" s="655" t="s">
        <v>144</v>
      </c>
      <c r="N56" s="656"/>
    </row>
    <row r="57" spans="1:14" ht="12.75">
      <c r="A57" s="350"/>
      <c r="B57" s="350"/>
      <c r="C57" s="303"/>
      <c r="D57" s="303"/>
      <c r="E57" s="303"/>
      <c r="F57" s="303" t="s">
        <v>36</v>
      </c>
      <c r="G57" s="303" t="s">
        <v>82</v>
      </c>
      <c r="H57" s="263" t="s">
        <v>92</v>
      </c>
      <c r="I57" s="351" t="s">
        <v>76</v>
      </c>
      <c r="J57" s="351" t="s">
        <v>63</v>
      </c>
      <c r="K57" s="351" t="s">
        <v>57</v>
      </c>
      <c r="L57" s="351" t="s">
        <v>89</v>
      </c>
      <c r="M57" s="351" t="s">
        <v>76</v>
      </c>
      <c r="N57" s="351" t="s">
        <v>63</v>
      </c>
    </row>
    <row r="58" spans="1:14" ht="15.75" customHeight="1">
      <c r="A58" s="54">
        <v>40</v>
      </c>
      <c r="B58" s="57" t="s">
        <v>78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90">
        <f aca="true" t="shared" si="5" ref="H58:H65">C58-D58-G58</f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</row>
    <row r="59" spans="1:14" ht="15.75" customHeight="1">
      <c r="A59" s="54">
        <v>41</v>
      </c>
      <c r="B59" s="57" t="s">
        <v>278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90">
        <f t="shared" si="5"/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</row>
    <row r="60" spans="1:14" ht="15.75" customHeight="1">
      <c r="A60" s="54">
        <v>42</v>
      </c>
      <c r="B60" s="57" t="s">
        <v>30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90">
        <f t="shared" si="5"/>
        <v>0</v>
      </c>
      <c r="I60" s="126">
        <v>0</v>
      </c>
      <c r="J60" s="126">
        <v>0</v>
      </c>
      <c r="K60" s="126">
        <v>13</v>
      </c>
      <c r="L60" s="126">
        <v>0</v>
      </c>
      <c r="M60" s="126">
        <v>0</v>
      </c>
      <c r="N60" s="126">
        <v>0</v>
      </c>
    </row>
    <row r="61" spans="1:14" ht="15.75" customHeight="1">
      <c r="A61" s="54">
        <v>43</v>
      </c>
      <c r="B61" s="57" t="s">
        <v>234</v>
      </c>
      <c r="C61" s="126">
        <v>146</v>
      </c>
      <c r="D61" s="126">
        <v>142</v>
      </c>
      <c r="E61" s="126">
        <v>142</v>
      </c>
      <c r="F61" s="126">
        <v>320</v>
      </c>
      <c r="G61" s="126">
        <v>4</v>
      </c>
      <c r="H61" s="190">
        <f t="shared" si="5"/>
        <v>0</v>
      </c>
      <c r="I61" s="126">
        <v>605</v>
      </c>
      <c r="J61" s="126">
        <v>1142</v>
      </c>
      <c r="K61" s="126">
        <v>26</v>
      </c>
      <c r="L61" s="126">
        <v>30</v>
      </c>
      <c r="M61" s="126">
        <v>87</v>
      </c>
      <c r="N61" s="126">
        <v>174</v>
      </c>
    </row>
    <row r="62" spans="1:14" ht="15.75" customHeight="1">
      <c r="A62" s="54">
        <v>44</v>
      </c>
      <c r="B62" s="57" t="s">
        <v>29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90">
        <f t="shared" si="5"/>
        <v>0</v>
      </c>
      <c r="I62" s="126">
        <v>43</v>
      </c>
      <c r="J62" s="126">
        <v>15</v>
      </c>
      <c r="K62" s="126">
        <v>1</v>
      </c>
      <c r="L62" s="126">
        <v>25</v>
      </c>
      <c r="M62" s="126">
        <v>0</v>
      </c>
      <c r="N62" s="126">
        <v>0</v>
      </c>
    </row>
    <row r="63" spans="1:14" ht="15.75" customHeight="1">
      <c r="A63" s="54">
        <v>45</v>
      </c>
      <c r="B63" s="57" t="s">
        <v>391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90">
        <f t="shared" si="5"/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</row>
    <row r="64" spans="1:14" ht="15.75" customHeight="1">
      <c r="A64" s="54">
        <v>46</v>
      </c>
      <c r="B64" s="57" t="s">
        <v>25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90">
        <f t="shared" si="5"/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</row>
    <row r="65" spans="1:14" ht="15.75" customHeight="1">
      <c r="A65" s="54">
        <v>47</v>
      </c>
      <c r="B65" s="57" t="s">
        <v>28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90">
        <f t="shared" si="5"/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</row>
    <row r="66" spans="1:14" s="233" customFormat="1" ht="15.75" customHeight="1">
      <c r="A66" s="54"/>
      <c r="B66" s="366" t="s">
        <v>123</v>
      </c>
      <c r="C66" s="367">
        <f aca="true" t="shared" si="6" ref="C66:N66">SUM(C58:C65)</f>
        <v>146</v>
      </c>
      <c r="D66" s="367">
        <f t="shared" si="6"/>
        <v>142</v>
      </c>
      <c r="E66" s="367">
        <f t="shared" si="6"/>
        <v>142</v>
      </c>
      <c r="F66" s="367">
        <f t="shared" si="6"/>
        <v>320</v>
      </c>
      <c r="G66" s="367">
        <f t="shared" si="6"/>
        <v>4</v>
      </c>
      <c r="H66" s="410">
        <f t="shared" si="6"/>
        <v>0</v>
      </c>
      <c r="I66" s="367">
        <f t="shared" si="6"/>
        <v>648</v>
      </c>
      <c r="J66" s="367">
        <f t="shared" si="6"/>
        <v>1157</v>
      </c>
      <c r="K66" s="367">
        <f t="shared" si="6"/>
        <v>40</v>
      </c>
      <c r="L66" s="367">
        <f t="shared" si="6"/>
        <v>55</v>
      </c>
      <c r="M66" s="367">
        <f t="shared" si="6"/>
        <v>87</v>
      </c>
      <c r="N66" s="367">
        <f t="shared" si="6"/>
        <v>174</v>
      </c>
    </row>
    <row r="67" spans="1:14" ht="15.75" customHeight="1">
      <c r="A67" s="54"/>
      <c r="B67" s="117" t="s">
        <v>36</v>
      </c>
      <c r="C67" s="126"/>
      <c r="D67" s="126"/>
      <c r="E67" s="126"/>
      <c r="F67" s="126"/>
      <c r="G67" s="126"/>
      <c r="H67" s="264"/>
      <c r="I67" s="126"/>
      <c r="J67" s="126"/>
      <c r="K67" s="126"/>
      <c r="L67" s="126"/>
      <c r="M67" s="126"/>
      <c r="N67" s="126"/>
    </row>
    <row r="68" spans="1:14" ht="15.75" customHeight="1">
      <c r="A68" s="54">
        <v>48</v>
      </c>
      <c r="B68" s="126" t="s">
        <v>34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90">
        <f>C68-D68-G68</f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</row>
    <row r="69" spans="1:14" ht="15.75" customHeight="1">
      <c r="A69" s="54">
        <v>49</v>
      </c>
      <c r="B69" s="126" t="s">
        <v>130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90">
        <f>C69-D69-G69</f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</row>
    <row r="70" spans="1:14" s="233" customFormat="1" ht="15.75" customHeight="1">
      <c r="A70" s="368"/>
      <c r="B70" s="366" t="s">
        <v>123</v>
      </c>
      <c r="C70" s="367">
        <f aca="true" t="shared" si="7" ref="C70:J70">SUM(C68:C69)</f>
        <v>0</v>
      </c>
      <c r="D70" s="367">
        <f t="shared" si="7"/>
        <v>0</v>
      </c>
      <c r="E70" s="367">
        <f t="shared" si="7"/>
        <v>0</v>
      </c>
      <c r="F70" s="367">
        <f t="shared" si="7"/>
        <v>0</v>
      </c>
      <c r="G70" s="367">
        <f t="shared" si="7"/>
        <v>0</v>
      </c>
      <c r="H70" s="410">
        <f t="shared" si="7"/>
        <v>0</v>
      </c>
      <c r="I70" s="367">
        <f t="shared" si="7"/>
        <v>0</v>
      </c>
      <c r="J70" s="367">
        <f t="shared" si="7"/>
        <v>0</v>
      </c>
      <c r="K70" s="367">
        <f>SUM(K68:K69)</f>
        <v>0</v>
      </c>
      <c r="L70" s="367">
        <f>SUM(L68:L69)</f>
        <v>0</v>
      </c>
      <c r="M70" s="367">
        <f>SUM(M68:M69)</f>
        <v>0</v>
      </c>
      <c r="N70" s="367">
        <f>SUM(N68:N69)</f>
        <v>0</v>
      </c>
    </row>
    <row r="71" spans="1:14" s="233" customFormat="1" ht="15.75" customHeight="1">
      <c r="A71" s="368"/>
      <c r="B71" s="366" t="s">
        <v>35</v>
      </c>
      <c r="C71" s="367">
        <f aca="true" t="shared" si="8" ref="C71:N71">+C50+C66+C70</f>
        <v>892</v>
      </c>
      <c r="D71" s="367">
        <f t="shared" si="8"/>
        <v>878</v>
      </c>
      <c r="E71" s="367">
        <f t="shared" si="8"/>
        <v>874</v>
      </c>
      <c r="F71" s="367">
        <f t="shared" si="8"/>
        <v>1873</v>
      </c>
      <c r="G71" s="367">
        <f t="shared" si="8"/>
        <v>11</v>
      </c>
      <c r="H71" s="410">
        <f t="shared" si="8"/>
        <v>3</v>
      </c>
      <c r="I71" s="367">
        <f t="shared" si="8"/>
        <v>10029</v>
      </c>
      <c r="J71" s="367">
        <f t="shared" si="8"/>
        <v>19133</v>
      </c>
      <c r="K71" s="367">
        <f t="shared" si="8"/>
        <v>2183</v>
      </c>
      <c r="L71" s="367">
        <f t="shared" si="8"/>
        <v>3621</v>
      </c>
      <c r="M71" s="367">
        <f t="shared" si="8"/>
        <v>1767</v>
      </c>
      <c r="N71" s="367">
        <f t="shared" si="8"/>
        <v>3684</v>
      </c>
    </row>
    <row r="75" spans="4:6" ht="12.75">
      <c r="D75" s="24">
        <v>13</v>
      </c>
      <c r="E75" s="24" t="s">
        <v>381</v>
      </c>
      <c r="F75" s="22" t="s">
        <v>36</v>
      </c>
    </row>
  </sheetData>
  <sheetProtection/>
  <mergeCells count="6">
    <mergeCell ref="M56:N56"/>
    <mergeCell ref="M55:N55"/>
    <mergeCell ref="C4:H4"/>
    <mergeCell ref="C54:H54"/>
    <mergeCell ref="M5:N5"/>
    <mergeCell ref="M6:N6"/>
  </mergeCells>
  <printOptions gridLines="1" horizontalCentered="1"/>
  <pageMargins left="0.75" right="0.75" top="0.38" bottom="1.01" header="0.28" footer="0.5"/>
  <pageSetup blackAndWhite="1" horizontalDpi="300" verticalDpi="300" orientation="landscape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140" zoomScaleNormal="140" zoomScalePageLayoutView="0" workbookViewId="0" topLeftCell="A1">
      <selection activeCell="D9" sqref="D9"/>
    </sheetView>
  </sheetViews>
  <sheetFormatPr defaultColWidth="9.140625" defaultRowHeight="12.75"/>
  <cols>
    <col min="1" max="1" width="5.140625" style="567" customWidth="1"/>
    <col min="2" max="2" width="25.7109375" style="557" customWidth="1"/>
    <col min="3" max="3" width="14.00390625" style="557" customWidth="1"/>
    <col min="4" max="4" width="18.8515625" style="557" customWidth="1"/>
    <col min="5" max="5" width="15.7109375" style="557" customWidth="1"/>
    <col min="6" max="6" width="15.28125" style="567" customWidth="1"/>
    <col min="7" max="7" width="25.28125" style="567" customWidth="1"/>
    <col min="8" max="16384" width="9.140625" style="557" customWidth="1"/>
  </cols>
  <sheetData>
    <row r="1" spans="3:7" ht="12.75">
      <c r="C1" s="558"/>
      <c r="D1" s="559"/>
      <c r="E1" s="559"/>
      <c r="F1" s="560"/>
      <c r="G1" s="561"/>
    </row>
    <row r="2" spans="3:7" ht="12.75">
      <c r="C2" s="558"/>
      <c r="D2" s="559"/>
      <c r="E2" s="559"/>
      <c r="F2" s="560"/>
      <c r="G2" s="561"/>
    </row>
    <row r="3" spans="2:7" ht="12.75">
      <c r="B3" s="599"/>
      <c r="C3" s="589"/>
      <c r="D3" s="559"/>
      <c r="E3" s="559"/>
      <c r="F3" s="560"/>
      <c r="G3" s="561"/>
    </row>
    <row r="4" spans="3:7" ht="12.75">
      <c r="C4" s="558"/>
      <c r="D4" s="559"/>
      <c r="E4" s="559"/>
      <c r="F4" s="560"/>
      <c r="G4" s="561"/>
    </row>
    <row r="5" spans="3:7" ht="12.75">
      <c r="C5" s="558"/>
      <c r="D5" s="559"/>
      <c r="E5" s="559"/>
      <c r="F5" s="560"/>
      <c r="G5" s="561"/>
    </row>
    <row r="6" spans="3:7" ht="12.75">
      <c r="C6" s="558"/>
      <c r="D6" s="559"/>
      <c r="E6" s="559"/>
      <c r="F6" s="560"/>
      <c r="G6" s="561"/>
    </row>
    <row r="7" spans="1:7" ht="12.75">
      <c r="A7" s="548" t="s">
        <v>351</v>
      </c>
      <c r="B7" s="548" t="s">
        <v>352</v>
      </c>
      <c r="C7" s="549" t="s">
        <v>290</v>
      </c>
      <c r="D7" s="549" t="s">
        <v>291</v>
      </c>
      <c r="E7" s="549" t="s">
        <v>292</v>
      </c>
      <c r="F7" s="549" t="s">
        <v>293</v>
      </c>
      <c r="G7" s="549" t="s">
        <v>292</v>
      </c>
    </row>
    <row r="8" spans="1:7" ht="12.75">
      <c r="A8" s="590"/>
      <c r="B8" s="590"/>
      <c r="C8" s="550" t="s">
        <v>294</v>
      </c>
      <c r="D8" s="550" t="s">
        <v>295</v>
      </c>
      <c r="E8" s="550" t="s">
        <v>291</v>
      </c>
      <c r="F8" s="550" t="s">
        <v>296</v>
      </c>
      <c r="G8" s="550" t="s">
        <v>297</v>
      </c>
    </row>
    <row r="9" spans="1:7" ht="12.75" customHeight="1">
      <c r="A9" s="590">
        <v>1</v>
      </c>
      <c r="B9" s="591" t="s">
        <v>298</v>
      </c>
      <c r="C9" s="591">
        <v>38649</v>
      </c>
      <c r="D9" s="591">
        <v>32387</v>
      </c>
      <c r="E9" s="591">
        <v>31144</v>
      </c>
      <c r="F9" s="591">
        <v>656</v>
      </c>
      <c r="G9" s="591">
        <v>98.15007406006744</v>
      </c>
    </row>
    <row r="10" spans="1:7" ht="12.75" customHeight="1">
      <c r="A10" s="590">
        <v>2</v>
      </c>
      <c r="B10" s="591" t="s">
        <v>299</v>
      </c>
      <c r="C10" s="591">
        <v>4000</v>
      </c>
      <c r="D10" s="591">
        <v>1765</v>
      </c>
      <c r="E10" s="591">
        <v>1172</v>
      </c>
      <c r="F10" s="591">
        <v>590</v>
      </c>
      <c r="G10" s="591">
        <v>99.74468085106383</v>
      </c>
    </row>
    <row r="11" spans="1:7" ht="12.75" customHeight="1">
      <c r="A11" s="590">
        <v>3</v>
      </c>
      <c r="B11" s="591" t="s">
        <v>300</v>
      </c>
      <c r="C11" s="591">
        <v>12488</v>
      </c>
      <c r="D11" s="591">
        <v>9182</v>
      </c>
      <c r="E11" s="591">
        <v>8493</v>
      </c>
      <c r="F11" s="591">
        <v>689</v>
      </c>
      <c r="G11" s="591">
        <v>100</v>
      </c>
    </row>
    <row r="12" spans="1:7" ht="12.75" customHeight="1">
      <c r="A12" s="590">
        <v>4</v>
      </c>
      <c r="B12" s="591" t="s">
        <v>301</v>
      </c>
      <c r="C12" s="591">
        <v>15133</v>
      </c>
      <c r="D12" s="591">
        <v>9147</v>
      </c>
      <c r="E12" s="591">
        <v>6343</v>
      </c>
      <c r="F12" s="591">
        <v>2804</v>
      </c>
      <c r="G12" s="591">
        <v>100</v>
      </c>
    </row>
    <row r="13" spans="1:7" ht="12.75" customHeight="1">
      <c r="A13" s="590">
        <v>5</v>
      </c>
      <c r="B13" s="591" t="s">
        <v>302</v>
      </c>
      <c r="C13" s="591">
        <v>17015</v>
      </c>
      <c r="D13" s="591">
        <v>16832</v>
      </c>
      <c r="E13" s="591">
        <v>8959</v>
      </c>
      <c r="F13" s="591">
        <v>1521</v>
      </c>
      <c r="G13" s="591">
        <v>58.5134870354647</v>
      </c>
    </row>
    <row r="14" spans="1:7" ht="12.75" customHeight="1">
      <c r="A14" s="590">
        <v>6</v>
      </c>
      <c r="B14" s="591" t="s">
        <v>303</v>
      </c>
      <c r="C14" s="591">
        <v>975</v>
      </c>
      <c r="D14" s="591">
        <v>645</v>
      </c>
      <c r="E14" s="591">
        <v>492</v>
      </c>
      <c r="F14" s="591">
        <v>130</v>
      </c>
      <c r="G14" s="591">
        <v>95.53398058252426</v>
      </c>
    </row>
    <row r="15" spans="1:7" ht="12.75" customHeight="1">
      <c r="A15" s="590">
        <v>7</v>
      </c>
      <c r="B15" s="591" t="s">
        <v>304</v>
      </c>
      <c r="C15" s="591">
        <v>15265</v>
      </c>
      <c r="D15" s="591">
        <v>10240</v>
      </c>
      <c r="E15" s="591">
        <v>7273</v>
      </c>
      <c r="F15" s="591">
        <v>2967</v>
      </c>
      <c r="G15" s="591">
        <v>100</v>
      </c>
    </row>
    <row r="16" spans="1:7" ht="12.75" customHeight="1">
      <c r="A16" s="590">
        <v>8</v>
      </c>
      <c r="B16" s="591" t="s">
        <v>305</v>
      </c>
      <c r="C16" s="591">
        <v>104958</v>
      </c>
      <c r="D16" s="591">
        <v>90078</v>
      </c>
      <c r="E16" s="591">
        <v>78454</v>
      </c>
      <c r="F16" s="591">
        <v>11624</v>
      </c>
      <c r="G16" s="591">
        <v>100</v>
      </c>
    </row>
    <row r="17" spans="1:7" ht="12.75" customHeight="1">
      <c r="A17" s="590">
        <v>9</v>
      </c>
      <c r="B17" s="591" t="s">
        <v>306</v>
      </c>
      <c r="C17" s="591">
        <v>1591</v>
      </c>
      <c r="D17" s="591">
        <v>315</v>
      </c>
      <c r="E17" s="591">
        <v>279</v>
      </c>
      <c r="F17" s="591">
        <v>36</v>
      </c>
      <c r="G17" s="591">
        <v>100</v>
      </c>
    </row>
    <row r="18" spans="1:7" ht="12.75" customHeight="1">
      <c r="A18" s="590">
        <v>10</v>
      </c>
      <c r="B18" s="591" t="s">
        <v>307</v>
      </c>
      <c r="C18" s="591">
        <v>1873</v>
      </c>
      <c r="D18" s="591">
        <v>1194</v>
      </c>
      <c r="E18" s="591">
        <v>1027</v>
      </c>
      <c r="F18" s="591">
        <v>170</v>
      </c>
      <c r="G18" s="591">
        <v>100.29296875</v>
      </c>
    </row>
    <row r="19" spans="1:7" ht="12.75" customHeight="1">
      <c r="A19" s="590">
        <v>11</v>
      </c>
      <c r="B19" s="591" t="s">
        <v>308</v>
      </c>
      <c r="C19" s="591">
        <v>476</v>
      </c>
      <c r="D19" s="591">
        <v>131</v>
      </c>
      <c r="E19" s="591">
        <v>89</v>
      </c>
      <c r="F19" s="591">
        <v>42</v>
      </c>
      <c r="G19" s="591">
        <v>100</v>
      </c>
    </row>
    <row r="20" spans="1:7" ht="12.75" customHeight="1">
      <c r="A20" s="590">
        <v>12</v>
      </c>
      <c r="B20" s="591" t="s">
        <v>309</v>
      </c>
      <c r="C20" s="591">
        <v>4839</v>
      </c>
      <c r="D20" s="591">
        <v>1671</v>
      </c>
      <c r="E20" s="591">
        <v>1671</v>
      </c>
      <c r="F20" s="591">
        <v>8</v>
      </c>
      <c r="G20" s="591">
        <v>100.4810583283223</v>
      </c>
    </row>
    <row r="21" spans="1:7" ht="12.75" customHeight="1">
      <c r="A21" s="590">
        <v>13</v>
      </c>
      <c r="B21" s="591" t="s">
        <v>310</v>
      </c>
      <c r="C21" s="591">
        <v>785</v>
      </c>
      <c r="D21" s="591">
        <v>396</v>
      </c>
      <c r="E21" s="591">
        <v>396</v>
      </c>
      <c r="F21" s="591">
        <v>0</v>
      </c>
      <c r="G21" s="591">
        <v>100</v>
      </c>
    </row>
    <row r="22" spans="1:7" ht="12.75" customHeight="1">
      <c r="A22" s="590">
        <v>14</v>
      </c>
      <c r="B22" s="591" t="s">
        <v>311</v>
      </c>
      <c r="C22" s="591">
        <v>41557</v>
      </c>
      <c r="D22" s="591">
        <v>27992</v>
      </c>
      <c r="E22" s="591">
        <v>26227</v>
      </c>
      <c r="F22" s="591">
        <v>1712</v>
      </c>
      <c r="G22" s="591">
        <v>99.79832572298325</v>
      </c>
    </row>
    <row r="23" spans="1:7" ht="12.75" customHeight="1">
      <c r="A23" s="590">
        <v>15</v>
      </c>
      <c r="B23" s="591" t="s">
        <v>312</v>
      </c>
      <c r="C23" s="591">
        <v>1295</v>
      </c>
      <c r="D23" s="591">
        <v>674</v>
      </c>
      <c r="E23" s="591">
        <v>484</v>
      </c>
      <c r="F23" s="591">
        <v>85</v>
      </c>
      <c r="G23" s="591">
        <v>82.17317487266554</v>
      </c>
    </row>
    <row r="24" spans="1:7" ht="12.75" customHeight="1">
      <c r="A24" s="590">
        <v>16</v>
      </c>
      <c r="B24" s="591" t="s">
        <v>356</v>
      </c>
      <c r="C24" s="591">
        <v>120</v>
      </c>
      <c r="D24" s="591">
        <v>60</v>
      </c>
      <c r="E24" s="591">
        <v>48</v>
      </c>
      <c r="F24" s="591">
        <v>12</v>
      </c>
      <c r="G24" s="591">
        <v>100</v>
      </c>
    </row>
    <row r="25" spans="1:7" ht="12.75" customHeight="1">
      <c r="A25" s="590">
        <v>17</v>
      </c>
      <c r="B25" s="591" t="s">
        <v>313</v>
      </c>
      <c r="C25" s="591">
        <v>214</v>
      </c>
      <c r="D25" s="591">
        <v>88</v>
      </c>
      <c r="E25" s="591">
        <v>82</v>
      </c>
      <c r="F25" s="591">
        <v>6</v>
      </c>
      <c r="G25" s="591">
        <v>100</v>
      </c>
    </row>
    <row r="26" spans="1:7" ht="12.75" customHeight="1">
      <c r="A26" s="590">
        <v>18</v>
      </c>
      <c r="B26" s="591" t="s">
        <v>314</v>
      </c>
      <c r="C26" s="591">
        <v>235</v>
      </c>
      <c r="D26" s="591">
        <v>127</v>
      </c>
      <c r="E26" s="591">
        <v>120</v>
      </c>
      <c r="F26" s="591">
        <v>7</v>
      </c>
      <c r="G26" s="591">
        <v>100</v>
      </c>
    </row>
    <row r="27" spans="1:7" ht="12.75" customHeight="1">
      <c r="A27" s="590">
        <v>19</v>
      </c>
      <c r="B27" s="591" t="s">
        <v>315</v>
      </c>
      <c r="C27" s="591">
        <v>2236</v>
      </c>
      <c r="D27" s="591">
        <v>860</v>
      </c>
      <c r="E27" s="591">
        <v>798</v>
      </c>
      <c r="F27" s="591">
        <v>62</v>
      </c>
      <c r="G27" s="591">
        <v>100</v>
      </c>
    </row>
    <row r="28" spans="1:7" ht="12.75" customHeight="1">
      <c r="A28" s="590">
        <v>20</v>
      </c>
      <c r="B28" s="591" t="s">
        <v>316</v>
      </c>
      <c r="C28" s="591">
        <v>141860</v>
      </c>
      <c r="D28" s="591">
        <v>128880</v>
      </c>
      <c r="E28" s="591">
        <v>116142</v>
      </c>
      <c r="F28" s="591">
        <v>12738</v>
      </c>
      <c r="G28" s="591">
        <v>100</v>
      </c>
    </row>
    <row r="29" spans="1:7" ht="12.75" customHeight="1">
      <c r="A29" s="590">
        <v>21</v>
      </c>
      <c r="B29" s="591" t="s">
        <v>317</v>
      </c>
      <c r="C29" s="591">
        <v>8217</v>
      </c>
      <c r="D29" s="591">
        <v>6553</v>
      </c>
      <c r="E29" s="591">
        <v>6440</v>
      </c>
      <c r="F29" s="591">
        <v>113</v>
      </c>
      <c r="G29" s="591">
        <v>100</v>
      </c>
    </row>
    <row r="30" spans="1:7" ht="12.75" customHeight="1">
      <c r="A30" s="590">
        <v>22</v>
      </c>
      <c r="B30" s="591" t="s">
        <v>318</v>
      </c>
      <c r="C30" s="591">
        <v>128</v>
      </c>
      <c r="D30" s="591">
        <v>37</v>
      </c>
      <c r="E30" s="591">
        <v>30</v>
      </c>
      <c r="F30" s="591">
        <v>7</v>
      </c>
      <c r="G30" s="591">
        <v>100</v>
      </c>
    </row>
    <row r="31" spans="1:7" ht="12.75" customHeight="1">
      <c r="A31" s="590">
        <v>23</v>
      </c>
      <c r="B31" s="592" t="s">
        <v>319</v>
      </c>
      <c r="C31" s="591">
        <v>1456</v>
      </c>
      <c r="D31" s="591">
        <v>875</v>
      </c>
      <c r="E31" s="591">
        <v>469</v>
      </c>
      <c r="F31" s="591">
        <v>121</v>
      </c>
      <c r="G31" s="591">
        <v>62.20159151193634</v>
      </c>
    </row>
    <row r="32" spans="1:7" ht="12.75" customHeight="1">
      <c r="A32" s="590">
        <v>24</v>
      </c>
      <c r="B32" s="591" t="s">
        <v>320</v>
      </c>
      <c r="C32" s="591">
        <v>7540</v>
      </c>
      <c r="D32" s="591">
        <v>6203</v>
      </c>
      <c r="E32" s="591">
        <v>6203</v>
      </c>
      <c r="F32" s="591">
        <v>0</v>
      </c>
      <c r="G32" s="591">
        <v>100</v>
      </c>
    </row>
    <row r="33" spans="1:7" ht="12.75" customHeight="1">
      <c r="A33" s="590">
        <v>25</v>
      </c>
      <c r="B33" s="591" t="s">
        <v>321</v>
      </c>
      <c r="C33" s="591">
        <v>22642</v>
      </c>
      <c r="D33" s="591">
        <v>15798</v>
      </c>
      <c r="E33" s="591">
        <v>6474</v>
      </c>
      <c r="F33" s="591">
        <v>9324</v>
      </c>
      <c r="G33" s="591">
        <v>100</v>
      </c>
    </row>
    <row r="34" spans="1:7" ht="12.75" customHeight="1">
      <c r="A34" s="590">
        <v>26</v>
      </c>
      <c r="B34" s="591" t="s">
        <v>322</v>
      </c>
      <c r="C34" s="591">
        <v>704</v>
      </c>
      <c r="D34" s="591">
        <v>118</v>
      </c>
      <c r="E34" s="591">
        <v>118</v>
      </c>
      <c r="F34" s="591">
        <v>0</v>
      </c>
      <c r="G34" s="591">
        <v>100</v>
      </c>
    </row>
    <row r="35" spans="1:7" ht="12.75" customHeight="1">
      <c r="A35" s="590">
        <v>27</v>
      </c>
      <c r="B35" s="591" t="s">
        <v>323</v>
      </c>
      <c r="C35" s="591">
        <v>1570</v>
      </c>
      <c r="D35" s="591">
        <v>1190</v>
      </c>
      <c r="E35" s="591">
        <v>915</v>
      </c>
      <c r="F35" s="591">
        <v>275</v>
      </c>
      <c r="G35" s="591">
        <v>100</v>
      </c>
    </row>
    <row r="36" spans="1:7" ht="12.75" customHeight="1">
      <c r="A36" s="590">
        <v>28</v>
      </c>
      <c r="B36" s="591" t="s">
        <v>350</v>
      </c>
      <c r="C36" s="591">
        <v>757</v>
      </c>
      <c r="D36" s="591">
        <v>230</v>
      </c>
      <c r="E36" s="591">
        <v>206</v>
      </c>
      <c r="F36" s="591">
        <v>17</v>
      </c>
      <c r="G36" s="591">
        <v>96.71361502347418</v>
      </c>
    </row>
    <row r="37" spans="1:7" ht="12.75" customHeight="1">
      <c r="A37" s="590">
        <v>29</v>
      </c>
      <c r="B37" s="591" t="s">
        <v>357</v>
      </c>
      <c r="C37" s="591">
        <v>335</v>
      </c>
      <c r="D37" s="591">
        <v>20</v>
      </c>
      <c r="E37" s="591">
        <v>19</v>
      </c>
      <c r="F37" s="591">
        <v>0</v>
      </c>
      <c r="G37" s="591">
        <v>95</v>
      </c>
    </row>
    <row r="38" spans="1:7" ht="12.75" customHeight="1">
      <c r="A38" s="590">
        <v>30</v>
      </c>
      <c r="B38" s="591" t="s">
        <v>349</v>
      </c>
      <c r="C38" s="591">
        <v>0</v>
      </c>
      <c r="D38" s="591">
        <v>0</v>
      </c>
      <c r="E38" s="591">
        <v>0</v>
      </c>
      <c r="F38" s="591">
        <v>0</v>
      </c>
      <c r="G38" s="591">
        <v>0</v>
      </c>
    </row>
    <row r="39" spans="1:7" ht="12.75" customHeight="1">
      <c r="A39" s="590">
        <v>31</v>
      </c>
      <c r="B39" s="591" t="s">
        <v>371</v>
      </c>
      <c r="C39" s="591">
        <v>24</v>
      </c>
      <c r="D39" s="591">
        <v>20</v>
      </c>
      <c r="E39" s="591">
        <v>0</v>
      </c>
      <c r="F39" s="591">
        <v>0</v>
      </c>
      <c r="G39" s="591">
        <v>0</v>
      </c>
    </row>
    <row r="40" spans="1:7" ht="12.75" customHeight="1">
      <c r="A40" s="590">
        <v>32</v>
      </c>
      <c r="B40" s="591" t="s">
        <v>396</v>
      </c>
      <c r="C40" s="591">
        <v>373</v>
      </c>
      <c r="D40" s="591">
        <v>6</v>
      </c>
      <c r="E40" s="591">
        <v>4</v>
      </c>
      <c r="F40" s="591">
        <v>0</v>
      </c>
      <c r="G40" s="591">
        <v>66.66666666666667</v>
      </c>
    </row>
    <row r="41" spans="1:7" ht="12.75">
      <c r="A41" s="590">
        <v>33</v>
      </c>
      <c r="B41" s="590" t="s">
        <v>386</v>
      </c>
      <c r="C41" s="590">
        <v>0</v>
      </c>
      <c r="D41" s="590">
        <v>0</v>
      </c>
      <c r="E41" s="591">
        <v>0</v>
      </c>
      <c r="F41" s="591">
        <v>0</v>
      </c>
      <c r="G41" s="591">
        <v>0</v>
      </c>
    </row>
    <row r="42" spans="1:7" ht="12.75" customHeight="1">
      <c r="A42" s="590">
        <v>34</v>
      </c>
      <c r="B42" s="591" t="s">
        <v>326</v>
      </c>
      <c r="C42" s="591">
        <v>0</v>
      </c>
      <c r="D42" s="591">
        <v>0</v>
      </c>
      <c r="E42" s="591">
        <v>0</v>
      </c>
      <c r="F42" s="591">
        <v>0</v>
      </c>
      <c r="G42" s="591">
        <v>0</v>
      </c>
    </row>
    <row r="43" spans="1:7" ht="12.75" customHeight="1">
      <c r="A43" s="590">
        <v>35</v>
      </c>
      <c r="B43" s="591" t="s">
        <v>327</v>
      </c>
      <c r="C43" s="591">
        <v>6052</v>
      </c>
      <c r="D43" s="591">
        <v>6122</v>
      </c>
      <c r="E43" s="591">
        <v>5834</v>
      </c>
      <c r="F43" s="591">
        <v>218</v>
      </c>
      <c r="G43" s="591">
        <v>98.81436314363144</v>
      </c>
    </row>
    <row r="44" spans="1:7" ht="12.75" customHeight="1">
      <c r="A44" s="590">
        <v>36</v>
      </c>
      <c r="B44" s="591" t="s">
        <v>328</v>
      </c>
      <c r="C44" s="591">
        <v>1929</v>
      </c>
      <c r="D44" s="591">
        <v>1572</v>
      </c>
      <c r="E44" s="591">
        <v>1423</v>
      </c>
      <c r="F44" s="591">
        <v>561</v>
      </c>
      <c r="G44" s="591">
        <v>0</v>
      </c>
    </row>
    <row r="45" spans="1:7" ht="12.75" customHeight="1">
      <c r="A45" s="590">
        <v>37</v>
      </c>
      <c r="B45" s="591" t="s">
        <v>329</v>
      </c>
      <c r="C45" s="591">
        <v>1948</v>
      </c>
      <c r="D45" s="591">
        <v>1882</v>
      </c>
      <c r="E45" s="591">
        <v>1856</v>
      </c>
      <c r="F45" s="591">
        <v>26</v>
      </c>
      <c r="G45" s="591">
        <v>100</v>
      </c>
    </row>
    <row r="46" spans="1:7" ht="12.75" customHeight="1">
      <c r="A46" s="590">
        <v>38</v>
      </c>
      <c r="B46" s="591" t="s">
        <v>324</v>
      </c>
      <c r="C46" s="591">
        <v>3610</v>
      </c>
      <c r="D46" s="591">
        <v>3350</v>
      </c>
      <c r="E46" s="591">
        <v>2110</v>
      </c>
      <c r="F46" s="591">
        <v>1240</v>
      </c>
      <c r="G46" s="591">
        <v>100</v>
      </c>
    </row>
    <row r="47" spans="1:7" ht="12.75" customHeight="1">
      <c r="A47" s="590">
        <v>39</v>
      </c>
      <c r="B47" s="591" t="s">
        <v>418</v>
      </c>
      <c r="C47" s="591">
        <v>8627</v>
      </c>
      <c r="D47" s="591">
        <v>7437</v>
      </c>
      <c r="E47" s="591">
        <v>4020</v>
      </c>
      <c r="F47" s="591">
        <v>3417</v>
      </c>
      <c r="G47" s="591">
        <v>100</v>
      </c>
    </row>
    <row r="48" spans="1:7" ht="12.75" customHeight="1">
      <c r="A48" s="590">
        <v>40</v>
      </c>
      <c r="B48" s="593" t="s">
        <v>417</v>
      </c>
      <c r="C48" s="591">
        <v>748</v>
      </c>
      <c r="D48" s="591">
        <v>782</v>
      </c>
      <c r="E48" s="591">
        <v>517</v>
      </c>
      <c r="F48" s="591">
        <v>231</v>
      </c>
      <c r="G48" s="591">
        <v>93.82940108892922</v>
      </c>
    </row>
    <row r="49" spans="1:7" ht="12.75" customHeight="1">
      <c r="A49" s="590">
        <v>41</v>
      </c>
      <c r="B49" s="592" t="s">
        <v>325</v>
      </c>
      <c r="C49" s="591">
        <v>1448</v>
      </c>
      <c r="D49" s="591">
        <v>1202</v>
      </c>
      <c r="E49" s="591">
        <v>605</v>
      </c>
      <c r="F49" s="591">
        <v>597</v>
      </c>
      <c r="G49" s="591">
        <v>100</v>
      </c>
    </row>
    <row r="50" spans="1:7" ht="12.75" customHeight="1">
      <c r="A50" s="590">
        <v>42</v>
      </c>
      <c r="B50" s="592" t="s">
        <v>358</v>
      </c>
      <c r="C50" s="591">
        <v>2680</v>
      </c>
      <c r="D50" s="591">
        <v>2590</v>
      </c>
      <c r="E50" s="591">
        <v>2560</v>
      </c>
      <c r="F50" s="591">
        <v>30</v>
      </c>
      <c r="G50" s="591">
        <v>100</v>
      </c>
    </row>
    <row r="51" spans="1:3" ht="12.75">
      <c r="A51" s="567">
        <v>43</v>
      </c>
      <c r="B51" s="567" t="s">
        <v>387</v>
      </c>
      <c r="C51" s="567" t="s">
        <v>36</v>
      </c>
    </row>
    <row r="52" spans="1:2" ht="12.75">
      <c r="A52" s="567">
        <v>44</v>
      </c>
      <c r="B52" s="567" t="s">
        <v>388</v>
      </c>
    </row>
    <row r="53" spans="1:2" ht="12.75">
      <c r="A53" s="567">
        <v>45</v>
      </c>
      <c r="B53" s="594" t="s">
        <v>389</v>
      </c>
    </row>
    <row r="54" spans="1:2" ht="12.75">
      <c r="A54" s="567">
        <v>46</v>
      </c>
      <c r="B54" s="594" t="s">
        <v>390</v>
      </c>
    </row>
    <row r="55" spans="2:3" ht="12.75">
      <c r="B55" s="595">
        <v>40</v>
      </c>
      <c r="C55" s="596" t="s">
        <v>277</v>
      </c>
    </row>
    <row r="56" spans="2:3" ht="12.75">
      <c r="B56" s="595">
        <v>41</v>
      </c>
      <c r="C56" s="597" t="s">
        <v>78</v>
      </c>
    </row>
    <row r="57" spans="2:3" ht="12.75">
      <c r="B57" s="595">
        <v>42</v>
      </c>
      <c r="C57" s="597" t="s">
        <v>278</v>
      </c>
    </row>
    <row r="58" spans="2:3" ht="12.75">
      <c r="B58" s="595">
        <v>43</v>
      </c>
      <c r="C58" s="596" t="s">
        <v>30</v>
      </c>
    </row>
    <row r="59" spans="2:3" ht="12.75">
      <c r="B59" s="595">
        <v>44</v>
      </c>
      <c r="C59" s="597" t="s">
        <v>234</v>
      </c>
    </row>
    <row r="60" spans="2:3" ht="12.75">
      <c r="B60" s="595">
        <v>45</v>
      </c>
      <c r="C60" s="597" t="s">
        <v>33</v>
      </c>
    </row>
    <row r="61" spans="2:3" ht="12.75">
      <c r="B61" s="595">
        <v>46</v>
      </c>
      <c r="C61" s="597" t="s">
        <v>29</v>
      </c>
    </row>
    <row r="62" spans="2:3" ht="12.75">
      <c r="B62" s="595">
        <v>47</v>
      </c>
      <c r="C62" s="597" t="s">
        <v>279</v>
      </c>
    </row>
    <row r="63" spans="2:3" ht="12.75">
      <c r="B63" s="595">
        <v>48</v>
      </c>
      <c r="C63" s="597" t="s">
        <v>25</v>
      </c>
    </row>
    <row r="64" spans="2:3" ht="12.75">
      <c r="B64" s="595">
        <v>49</v>
      </c>
      <c r="C64" s="597" t="s">
        <v>28</v>
      </c>
    </row>
    <row r="68" ht="12.75">
      <c r="C68" s="591"/>
    </row>
  </sheetData>
  <sheetProtection/>
  <printOptions/>
  <pageMargins left="0.75" right="0.75" top="0.26" bottom="0.3" header="0.17" footer="0.19"/>
  <pageSetup horizontalDpi="600" verticalDpi="600" orientation="landscape" scale="9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4"/>
  <sheetViews>
    <sheetView zoomScale="120" zoomScaleNormal="120" zoomScalePageLayoutView="0" workbookViewId="0" topLeftCell="K46">
      <selection activeCell="B5" sqref="B5"/>
    </sheetView>
  </sheetViews>
  <sheetFormatPr defaultColWidth="9.140625" defaultRowHeight="12.75"/>
  <cols>
    <col min="1" max="1" width="3.7109375" style="0" customWidth="1"/>
    <col min="2" max="2" width="23.421875" style="103" customWidth="1"/>
    <col min="3" max="3" width="10.28125" style="22" customWidth="1"/>
    <col min="4" max="4" width="10.7109375" style="22" customWidth="1"/>
    <col min="5" max="5" width="9.57421875" style="22" customWidth="1"/>
    <col min="6" max="6" width="10.140625" style="22" customWidth="1"/>
    <col min="7" max="7" width="9.421875" style="22" customWidth="1"/>
    <col min="8" max="8" width="10.7109375" style="22" customWidth="1"/>
    <col min="9" max="9" width="9.28125" style="22" customWidth="1"/>
    <col min="10" max="10" width="10.8515625" style="22" customWidth="1"/>
    <col min="11" max="11" width="10.57421875" style="22" customWidth="1"/>
    <col min="12" max="14" width="9.8515625" style="22" customWidth="1"/>
    <col min="15" max="15" width="9.7109375" style="99" customWidth="1"/>
    <col min="16" max="16" width="12.7109375" style="99" bestFit="1" customWidth="1"/>
    <col min="17" max="20" width="9.140625" style="103" customWidth="1"/>
  </cols>
  <sheetData>
    <row r="1" spans="1:16" ht="16.5" customHeight="1">
      <c r="A1" s="27"/>
      <c r="B1" s="201"/>
      <c r="C1" s="36"/>
      <c r="D1" s="36"/>
      <c r="E1" s="36"/>
      <c r="F1" s="36"/>
      <c r="G1" s="36"/>
      <c r="H1" s="36"/>
      <c r="I1" s="67"/>
      <c r="J1" s="67"/>
      <c r="K1" s="67"/>
      <c r="L1" s="67"/>
      <c r="M1" s="67"/>
      <c r="N1" s="67"/>
      <c r="O1" s="191"/>
      <c r="P1" s="191"/>
    </row>
    <row r="2" spans="1:16" ht="16.5" customHeight="1">
      <c r="A2" s="31"/>
      <c r="B2" s="102"/>
      <c r="C2" s="36"/>
      <c r="D2" s="36"/>
      <c r="E2" s="36"/>
      <c r="F2" s="36"/>
      <c r="G2" s="36"/>
      <c r="H2" s="67"/>
      <c r="I2" s="67"/>
      <c r="J2" s="67"/>
      <c r="K2" s="67"/>
      <c r="L2" s="67"/>
      <c r="M2" s="67"/>
      <c r="N2" s="67"/>
      <c r="O2" s="250"/>
      <c r="P2" s="191"/>
    </row>
    <row r="3" spans="1:16" ht="16.5" customHeight="1">
      <c r="A3" s="31"/>
      <c r="B3" s="102"/>
      <c r="C3" s="68" t="s">
        <v>36</v>
      </c>
      <c r="D3" s="228" t="s">
        <v>83</v>
      </c>
      <c r="E3" s="227"/>
      <c r="F3" s="227"/>
      <c r="G3" s="227" t="s">
        <v>36</v>
      </c>
      <c r="H3" s="227" t="s">
        <v>36</v>
      </c>
      <c r="I3" s="227" t="s">
        <v>36</v>
      </c>
      <c r="J3" s="227" t="s">
        <v>36</v>
      </c>
      <c r="K3" s="227" t="s">
        <v>36</v>
      </c>
      <c r="L3" s="227"/>
      <c r="M3" s="227"/>
      <c r="N3" s="227"/>
      <c r="O3" s="270"/>
      <c r="P3" s="191"/>
    </row>
    <row r="4" spans="1:16" ht="12.75">
      <c r="A4" s="43" t="s">
        <v>4</v>
      </c>
      <c r="B4" s="202" t="s">
        <v>5</v>
      </c>
      <c r="C4" s="659" t="s">
        <v>149</v>
      </c>
      <c r="D4" s="660"/>
      <c r="E4" s="659" t="s">
        <v>148</v>
      </c>
      <c r="F4" s="660"/>
      <c r="G4" s="659" t="s">
        <v>147</v>
      </c>
      <c r="H4" s="660"/>
      <c r="I4" s="659" t="s">
        <v>146</v>
      </c>
      <c r="J4" s="660"/>
      <c r="K4" s="662" t="s">
        <v>145</v>
      </c>
      <c r="L4" s="662"/>
      <c r="M4" s="662" t="s">
        <v>228</v>
      </c>
      <c r="N4" s="662"/>
      <c r="O4" s="661" t="s">
        <v>3</v>
      </c>
      <c r="P4" s="661"/>
    </row>
    <row r="5" spans="1:18" ht="12.75">
      <c r="A5" s="47" t="s">
        <v>6</v>
      </c>
      <c r="B5" s="186"/>
      <c r="C5" s="130" t="s">
        <v>57</v>
      </c>
      <c r="D5" s="130" t="s">
        <v>63</v>
      </c>
      <c r="E5" s="130" t="s">
        <v>57</v>
      </c>
      <c r="F5" s="130" t="s">
        <v>63</v>
      </c>
      <c r="G5" s="130" t="s">
        <v>57</v>
      </c>
      <c r="H5" s="130" t="s">
        <v>63</v>
      </c>
      <c r="I5" s="130" t="s">
        <v>57</v>
      </c>
      <c r="J5" s="130" t="s">
        <v>63</v>
      </c>
      <c r="K5" s="130" t="s">
        <v>57</v>
      </c>
      <c r="L5" s="130" t="s">
        <v>63</v>
      </c>
      <c r="M5" s="130" t="s">
        <v>57</v>
      </c>
      <c r="N5" s="130" t="s">
        <v>63</v>
      </c>
      <c r="O5" s="252" t="s">
        <v>57</v>
      </c>
      <c r="P5" s="252" t="s">
        <v>63</v>
      </c>
      <c r="Q5" s="19"/>
      <c r="R5" s="19"/>
    </row>
    <row r="6" spans="1:18" ht="12.75">
      <c r="A6" s="54">
        <v>1</v>
      </c>
      <c r="B6" s="57" t="s">
        <v>7</v>
      </c>
      <c r="C6" s="57">
        <v>8044</v>
      </c>
      <c r="D6" s="57">
        <v>6726</v>
      </c>
      <c r="E6" s="57">
        <v>1064</v>
      </c>
      <c r="F6" s="57">
        <v>1516</v>
      </c>
      <c r="G6" s="57">
        <v>807</v>
      </c>
      <c r="H6" s="57">
        <v>541</v>
      </c>
      <c r="I6" s="57">
        <v>0</v>
      </c>
      <c r="J6" s="57">
        <v>0</v>
      </c>
      <c r="K6" s="57">
        <v>25</v>
      </c>
      <c r="L6" s="57">
        <v>28</v>
      </c>
      <c r="M6" s="57">
        <v>493</v>
      </c>
      <c r="N6" s="57">
        <v>293</v>
      </c>
      <c r="O6" s="190">
        <f>C6+E6+G6+I6+K6+M6</f>
        <v>10433</v>
      </c>
      <c r="P6" s="190">
        <f>D6+F6+H6+J6+L6+N6</f>
        <v>9104</v>
      </c>
      <c r="Q6" s="19"/>
      <c r="R6" s="19"/>
    </row>
    <row r="7" spans="1:18" ht="12.75">
      <c r="A7" s="54">
        <v>2</v>
      </c>
      <c r="B7" s="57" t="s">
        <v>8</v>
      </c>
      <c r="C7" s="57">
        <v>107</v>
      </c>
      <c r="D7" s="57">
        <v>89</v>
      </c>
      <c r="E7" s="57">
        <v>12</v>
      </c>
      <c r="F7" s="57">
        <v>31</v>
      </c>
      <c r="G7" s="57">
        <v>18</v>
      </c>
      <c r="H7" s="57">
        <v>9</v>
      </c>
      <c r="I7" s="57">
        <v>0</v>
      </c>
      <c r="J7" s="57">
        <v>0</v>
      </c>
      <c r="K7" s="57">
        <v>0</v>
      </c>
      <c r="L7" s="57">
        <v>0</v>
      </c>
      <c r="M7" s="57">
        <v>47</v>
      </c>
      <c r="N7" s="57">
        <v>84</v>
      </c>
      <c r="O7" s="190">
        <f aca="true" t="shared" si="0" ref="O7:O24">C7+E7+G7+I7+K7+M7</f>
        <v>184</v>
      </c>
      <c r="P7" s="190">
        <f aca="true" t="shared" si="1" ref="P7:P24">D7+F7+H7+J7+L7+N7</f>
        <v>213</v>
      </c>
      <c r="Q7" s="19"/>
      <c r="R7" s="19"/>
    </row>
    <row r="8" spans="1:18" ht="12.75">
      <c r="A8" s="54">
        <v>3</v>
      </c>
      <c r="B8" s="57" t="s">
        <v>9</v>
      </c>
      <c r="C8" s="57">
        <v>1940</v>
      </c>
      <c r="D8" s="57">
        <v>2189</v>
      </c>
      <c r="E8" s="57">
        <v>321</v>
      </c>
      <c r="F8" s="57">
        <v>1128</v>
      </c>
      <c r="G8" s="57">
        <v>202</v>
      </c>
      <c r="H8" s="57">
        <v>413</v>
      </c>
      <c r="I8" s="57">
        <v>31</v>
      </c>
      <c r="J8" s="57">
        <v>63</v>
      </c>
      <c r="K8" s="57">
        <v>7</v>
      </c>
      <c r="L8" s="57">
        <v>7</v>
      </c>
      <c r="M8" s="57">
        <v>7108</v>
      </c>
      <c r="N8" s="57">
        <v>4261</v>
      </c>
      <c r="O8" s="190">
        <f t="shared" si="0"/>
        <v>9609</v>
      </c>
      <c r="P8" s="190">
        <f t="shared" si="1"/>
        <v>8061</v>
      </c>
      <c r="Q8" s="19"/>
      <c r="R8" s="19"/>
    </row>
    <row r="9" spans="1:18" ht="12.75">
      <c r="A9" s="50">
        <v>4</v>
      </c>
      <c r="B9" s="57" t="s">
        <v>10</v>
      </c>
      <c r="C9" s="57">
        <v>12021</v>
      </c>
      <c r="D9" s="57">
        <v>9661</v>
      </c>
      <c r="E9" s="57">
        <v>1295</v>
      </c>
      <c r="F9" s="57">
        <v>7202</v>
      </c>
      <c r="G9" s="57">
        <v>1085</v>
      </c>
      <c r="H9" s="57">
        <v>1027</v>
      </c>
      <c r="I9" s="57">
        <v>0</v>
      </c>
      <c r="J9" s="57">
        <v>0</v>
      </c>
      <c r="K9" s="57">
        <v>38</v>
      </c>
      <c r="L9" s="57">
        <v>61</v>
      </c>
      <c r="M9" s="57">
        <v>5926</v>
      </c>
      <c r="N9" s="57">
        <v>13027</v>
      </c>
      <c r="O9" s="190">
        <f t="shared" si="0"/>
        <v>20365</v>
      </c>
      <c r="P9" s="190">
        <f t="shared" si="1"/>
        <v>30978</v>
      </c>
      <c r="Q9" s="19"/>
      <c r="R9" s="19"/>
    </row>
    <row r="10" spans="1:18" ht="12.75">
      <c r="A10" s="50">
        <v>5</v>
      </c>
      <c r="B10" s="57" t="s">
        <v>11</v>
      </c>
      <c r="C10" s="57">
        <v>1730</v>
      </c>
      <c r="D10" s="57">
        <v>1620</v>
      </c>
      <c r="E10" s="57">
        <v>62</v>
      </c>
      <c r="F10" s="57">
        <v>159</v>
      </c>
      <c r="G10" s="57">
        <v>128</v>
      </c>
      <c r="H10" s="57">
        <v>135</v>
      </c>
      <c r="I10" s="57">
        <v>0</v>
      </c>
      <c r="J10" s="57">
        <v>0</v>
      </c>
      <c r="K10" s="57">
        <v>168</v>
      </c>
      <c r="L10" s="57">
        <v>41</v>
      </c>
      <c r="M10" s="57">
        <v>53</v>
      </c>
      <c r="N10" s="57">
        <v>110</v>
      </c>
      <c r="O10" s="190">
        <f t="shared" si="0"/>
        <v>2141</v>
      </c>
      <c r="P10" s="190">
        <f t="shared" si="1"/>
        <v>2065</v>
      </c>
      <c r="Q10" s="19"/>
      <c r="R10" s="19"/>
    </row>
    <row r="11" spans="1:18" ht="12.75">
      <c r="A11" s="50">
        <v>6</v>
      </c>
      <c r="B11" s="57" t="s">
        <v>12</v>
      </c>
      <c r="C11" s="57">
        <v>930</v>
      </c>
      <c r="D11" s="57">
        <v>1285</v>
      </c>
      <c r="E11" s="57">
        <v>157</v>
      </c>
      <c r="F11" s="57">
        <v>256</v>
      </c>
      <c r="G11" s="57">
        <v>138</v>
      </c>
      <c r="H11" s="57">
        <v>295</v>
      </c>
      <c r="I11" s="57">
        <v>0</v>
      </c>
      <c r="J11" s="57">
        <v>0</v>
      </c>
      <c r="K11" s="57">
        <v>7</v>
      </c>
      <c r="L11" s="57">
        <v>467</v>
      </c>
      <c r="M11" s="57">
        <v>0</v>
      </c>
      <c r="N11" s="57">
        <v>0</v>
      </c>
      <c r="O11" s="190">
        <f t="shared" si="0"/>
        <v>1232</v>
      </c>
      <c r="P11" s="190">
        <f t="shared" si="1"/>
        <v>2303</v>
      </c>
      <c r="Q11" s="19"/>
      <c r="R11" s="19"/>
    </row>
    <row r="12" spans="1:18" ht="12.75">
      <c r="A12" s="54">
        <v>7</v>
      </c>
      <c r="B12" s="57" t="s">
        <v>13</v>
      </c>
      <c r="C12" s="57">
        <v>23282</v>
      </c>
      <c r="D12" s="57">
        <v>10664</v>
      </c>
      <c r="E12" s="57">
        <v>4379</v>
      </c>
      <c r="F12" s="57">
        <v>3343</v>
      </c>
      <c r="G12" s="57">
        <v>2030</v>
      </c>
      <c r="H12" s="57">
        <v>1170</v>
      </c>
      <c r="I12" s="57">
        <v>5</v>
      </c>
      <c r="J12" s="57">
        <v>3</v>
      </c>
      <c r="K12" s="57">
        <v>1519</v>
      </c>
      <c r="L12" s="57">
        <v>908</v>
      </c>
      <c r="M12" s="57">
        <v>9521</v>
      </c>
      <c r="N12" s="57">
        <v>8837</v>
      </c>
      <c r="O12" s="190">
        <f t="shared" si="0"/>
        <v>40736</v>
      </c>
      <c r="P12" s="190">
        <f t="shared" si="1"/>
        <v>24925</v>
      </c>
      <c r="Q12" s="19"/>
      <c r="R12" s="19"/>
    </row>
    <row r="13" spans="1:18" ht="12.75">
      <c r="A13" s="54">
        <v>8</v>
      </c>
      <c r="B13" s="57" t="s">
        <v>162</v>
      </c>
      <c r="C13" s="57">
        <v>73</v>
      </c>
      <c r="D13" s="57">
        <v>151</v>
      </c>
      <c r="E13" s="57">
        <v>332</v>
      </c>
      <c r="F13" s="57">
        <v>394</v>
      </c>
      <c r="G13" s="57">
        <v>49</v>
      </c>
      <c r="H13" s="57">
        <v>52</v>
      </c>
      <c r="I13" s="57">
        <v>0</v>
      </c>
      <c r="J13" s="57">
        <v>0</v>
      </c>
      <c r="K13" s="57">
        <v>9</v>
      </c>
      <c r="L13" s="57">
        <v>10</v>
      </c>
      <c r="M13" s="57">
        <v>0</v>
      </c>
      <c r="N13" s="57">
        <v>0</v>
      </c>
      <c r="O13" s="190">
        <f t="shared" si="0"/>
        <v>463</v>
      </c>
      <c r="P13" s="190">
        <f t="shared" si="1"/>
        <v>607</v>
      </c>
      <c r="Q13" s="19"/>
      <c r="R13" s="19"/>
    </row>
    <row r="14" spans="1:18" ht="12.75">
      <c r="A14" s="50">
        <v>9</v>
      </c>
      <c r="B14" s="57" t="s">
        <v>14</v>
      </c>
      <c r="C14" s="57">
        <v>1587</v>
      </c>
      <c r="D14" s="57">
        <v>1695</v>
      </c>
      <c r="E14" s="57">
        <v>151</v>
      </c>
      <c r="F14" s="57">
        <v>2198</v>
      </c>
      <c r="G14" s="57">
        <v>92</v>
      </c>
      <c r="H14" s="57">
        <v>141</v>
      </c>
      <c r="I14" s="57">
        <v>3</v>
      </c>
      <c r="J14" s="57">
        <v>3</v>
      </c>
      <c r="K14" s="57">
        <v>3</v>
      </c>
      <c r="L14" s="57">
        <v>1</v>
      </c>
      <c r="M14" s="57">
        <v>1140</v>
      </c>
      <c r="N14" s="57">
        <v>2135</v>
      </c>
      <c r="O14" s="190">
        <f t="shared" si="0"/>
        <v>2976</v>
      </c>
      <c r="P14" s="190">
        <f t="shared" si="1"/>
        <v>6173</v>
      </c>
      <c r="Q14" s="19"/>
      <c r="R14" s="19"/>
    </row>
    <row r="15" spans="1:18" ht="12.75">
      <c r="A15" s="50">
        <v>10</v>
      </c>
      <c r="B15" s="57" t="s">
        <v>15</v>
      </c>
      <c r="C15" s="57">
        <v>405</v>
      </c>
      <c r="D15" s="57">
        <v>314</v>
      </c>
      <c r="E15" s="57">
        <v>55</v>
      </c>
      <c r="F15" s="57">
        <v>202</v>
      </c>
      <c r="G15" s="57">
        <v>33</v>
      </c>
      <c r="H15" s="57">
        <v>67</v>
      </c>
      <c r="I15" s="57">
        <v>0</v>
      </c>
      <c r="J15" s="57">
        <v>0</v>
      </c>
      <c r="K15" s="57">
        <v>0</v>
      </c>
      <c r="L15" s="57">
        <v>0</v>
      </c>
      <c r="M15" s="57">
        <v>357</v>
      </c>
      <c r="N15" s="57">
        <v>396</v>
      </c>
      <c r="O15" s="190">
        <f t="shared" si="0"/>
        <v>850</v>
      </c>
      <c r="P15" s="190">
        <f t="shared" si="1"/>
        <v>979</v>
      </c>
      <c r="Q15" s="19"/>
      <c r="R15" s="19"/>
    </row>
    <row r="16" spans="1:18" ht="12.75">
      <c r="A16" s="50">
        <v>11</v>
      </c>
      <c r="B16" s="57" t="s">
        <v>16</v>
      </c>
      <c r="C16" s="57">
        <v>478</v>
      </c>
      <c r="D16" s="57">
        <v>271</v>
      </c>
      <c r="E16" s="57">
        <v>20</v>
      </c>
      <c r="F16" s="57">
        <v>7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190">
        <f t="shared" si="0"/>
        <v>498</v>
      </c>
      <c r="P16" s="190">
        <f t="shared" si="1"/>
        <v>278</v>
      </c>
      <c r="Q16" s="19"/>
      <c r="R16" s="19"/>
    </row>
    <row r="17" spans="1:18" ht="12.75">
      <c r="A17" s="50">
        <v>12</v>
      </c>
      <c r="B17" s="57" t="s">
        <v>17</v>
      </c>
      <c r="C17" s="57">
        <v>1188</v>
      </c>
      <c r="D17" s="57">
        <v>1390</v>
      </c>
      <c r="E17" s="57">
        <v>272</v>
      </c>
      <c r="F17" s="57">
        <v>716</v>
      </c>
      <c r="G17" s="57">
        <v>63</v>
      </c>
      <c r="H17" s="57">
        <v>120</v>
      </c>
      <c r="I17" s="57">
        <v>0</v>
      </c>
      <c r="J17" s="57">
        <v>0</v>
      </c>
      <c r="K17" s="57">
        <v>0</v>
      </c>
      <c r="L17" s="57">
        <v>0</v>
      </c>
      <c r="M17" s="57">
        <v>781</v>
      </c>
      <c r="N17" s="57">
        <v>1521</v>
      </c>
      <c r="O17" s="190">
        <f t="shared" si="0"/>
        <v>2304</v>
      </c>
      <c r="P17" s="190">
        <f t="shared" si="1"/>
        <v>3747</v>
      </c>
      <c r="Q17" s="19"/>
      <c r="R17" s="19"/>
    </row>
    <row r="18" spans="1:18" ht="12.75">
      <c r="A18" s="50">
        <v>13</v>
      </c>
      <c r="B18" s="57" t="s">
        <v>164</v>
      </c>
      <c r="C18" s="57">
        <v>826</v>
      </c>
      <c r="D18" s="57">
        <v>647</v>
      </c>
      <c r="E18" s="57">
        <v>1645</v>
      </c>
      <c r="F18" s="57">
        <v>3550</v>
      </c>
      <c r="G18" s="57">
        <v>79</v>
      </c>
      <c r="H18" s="57">
        <v>57</v>
      </c>
      <c r="I18" s="57">
        <v>0</v>
      </c>
      <c r="J18" s="57">
        <v>0</v>
      </c>
      <c r="K18" s="57">
        <v>3</v>
      </c>
      <c r="L18" s="57">
        <v>2</v>
      </c>
      <c r="M18" s="57">
        <v>0</v>
      </c>
      <c r="N18" s="57">
        <v>0</v>
      </c>
      <c r="O18" s="190">
        <f t="shared" si="0"/>
        <v>2553</v>
      </c>
      <c r="P18" s="190">
        <f t="shared" si="1"/>
        <v>4256</v>
      </c>
      <c r="Q18" s="19"/>
      <c r="R18" s="19"/>
    </row>
    <row r="19" spans="1:18" ht="12" customHeight="1">
      <c r="A19" s="50">
        <v>14</v>
      </c>
      <c r="B19" s="57" t="s">
        <v>77</v>
      </c>
      <c r="C19" s="57">
        <v>14265</v>
      </c>
      <c r="D19" s="57">
        <v>5281</v>
      </c>
      <c r="E19" s="57">
        <v>2558</v>
      </c>
      <c r="F19" s="57">
        <v>3235</v>
      </c>
      <c r="G19" s="57">
        <v>504</v>
      </c>
      <c r="H19" s="57">
        <v>618</v>
      </c>
      <c r="I19" s="57">
        <v>1</v>
      </c>
      <c r="J19" s="57">
        <v>1</v>
      </c>
      <c r="K19" s="57">
        <v>385</v>
      </c>
      <c r="L19" s="57">
        <v>89</v>
      </c>
      <c r="M19" s="57">
        <v>2960</v>
      </c>
      <c r="N19" s="57">
        <v>10492</v>
      </c>
      <c r="O19" s="190">
        <f t="shared" si="0"/>
        <v>20673</v>
      </c>
      <c r="P19" s="190">
        <f t="shared" si="1"/>
        <v>19716</v>
      </c>
      <c r="Q19" s="19"/>
      <c r="R19" s="19"/>
    </row>
    <row r="20" spans="1:18" ht="12.75">
      <c r="A20" s="50">
        <v>15</v>
      </c>
      <c r="B20" s="57" t="s">
        <v>105</v>
      </c>
      <c r="C20" s="57">
        <v>1061</v>
      </c>
      <c r="D20" s="57">
        <v>1297</v>
      </c>
      <c r="E20" s="57">
        <v>85</v>
      </c>
      <c r="F20" s="57">
        <v>320</v>
      </c>
      <c r="G20" s="57">
        <v>125</v>
      </c>
      <c r="H20" s="57">
        <v>107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190">
        <f t="shared" si="0"/>
        <v>1271</v>
      </c>
      <c r="P20" s="190">
        <f t="shared" si="1"/>
        <v>1724</v>
      </c>
      <c r="Q20" s="19"/>
      <c r="R20" s="19"/>
    </row>
    <row r="21" spans="1:18" s="103" customFormat="1" ht="12.75">
      <c r="A21" s="54">
        <v>16</v>
      </c>
      <c r="B21" s="57" t="s">
        <v>20</v>
      </c>
      <c r="C21" s="57">
        <v>3106</v>
      </c>
      <c r="D21" s="57">
        <v>3816</v>
      </c>
      <c r="E21" s="57">
        <v>1046</v>
      </c>
      <c r="F21" s="57">
        <v>1232</v>
      </c>
      <c r="G21" s="57">
        <v>538</v>
      </c>
      <c r="H21" s="57">
        <v>625</v>
      </c>
      <c r="I21" s="57">
        <v>0</v>
      </c>
      <c r="J21" s="57">
        <v>0</v>
      </c>
      <c r="K21" s="57">
        <v>0</v>
      </c>
      <c r="L21" s="57">
        <v>0</v>
      </c>
      <c r="M21" s="57">
        <v>4701</v>
      </c>
      <c r="N21" s="57">
        <v>6194</v>
      </c>
      <c r="O21" s="190">
        <f t="shared" si="0"/>
        <v>9391</v>
      </c>
      <c r="P21" s="190">
        <f t="shared" si="1"/>
        <v>11867</v>
      </c>
      <c r="Q21" s="19"/>
      <c r="R21" s="19"/>
    </row>
    <row r="22" spans="1:18" ht="12.75">
      <c r="A22" s="50">
        <v>17</v>
      </c>
      <c r="B22" s="57" t="s">
        <v>21</v>
      </c>
      <c r="C22" s="57">
        <v>5414</v>
      </c>
      <c r="D22" s="57">
        <v>4439</v>
      </c>
      <c r="E22" s="57">
        <v>507</v>
      </c>
      <c r="F22" s="57">
        <v>620</v>
      </c>
      <c r="G22" s="57">
        <v>463</v>
      </c>
      <c r="H22" s="57">
        <v>378</v>
      </c>
      <c r="I22" s="57">
        <v>20</v>
      </c>
      <c r="J22" s="57">
        <v>20</v>
      </c>
      <c r="K22" s="57">
        <v>237</v>
      </c>
      <c r="L22" s="57">
        <v>228</v>
      </c>
      <c r="M22" s="57">
        <v>2703</v>
      </c>
      <c r="N22" s="57">
        <v>3742</v>
      </c>
      <c r="O22" s="190">
        <f t="shared" si="0"/>
        <v>9344</v>
      </c>
      <c r="P22" s="190">
        <f t="shared" si="1"/>
        <v>9427</v>
      </c>
      <c r="Q22" s="19"/>
      <c r="R22" s="19"/>
    </row>
    <row r="23" spans="1:18" ht="12.75">
      <c r="A23" s="50">
        <v>18</v>
      </c>
      <c r="B23" s="57" t="s">
        <v>19</v>
      </c>
      <c r="C23" s="57">
        <v>131</v>
      </c>
      <c r="D23" s="57">
        <v>143</v>
      </c>
      <c r="E23" s="57">
        <v>9</v>
      </c>
      <c r="F23" s="57">
        <v>10</v>
      </c>
      <c r="G23" s="57">
        <v>24</v>
      </c>
      <c r="H23" s="57">
        <v>18</v>
      </c>
      <c r="I23" s="57">
        <v>0</v>
      </c>
      <c r="J23" s="57">
        <v>0</v>
      </c>
      <c r="K23" s="57">
        <v>0</v>
      </c>
      <c r="L23" s="57">
        <v>0</v>
      </c>
      <c r="M23" s="57">
        <v>99</v>
      </c>
      <c r="N23" s="57">
        <v>984</v>
      </c>
      <c r="O23" s="190">
        <f t="shared" si="0"/>
        <v>263</v>
      </c>
      <c r="P23" s="190">
        <f t="shared" si="1"/>
        <v>1155</v>
      </c>
      <c r="Q23" s="19"/>
      <c r="R23" s="19"/>
    </row>
    <row r="24" spans="1:18" ht="12.75">
      <c r="A24" s="50">
        <v>19</v>
      </c>
      <c r="B24" s="57" t="s">
        <v>124</v>
      </c>
      <c r="C24" s="57">
        <v>441</v>
      </c>
      <c r="D24" s="57">
        <v>409</v>
      </c>
      <c r="E24" s="57">
        <v>19</v>
      </c>
      <c r="F24" s="57">
        <v>46</v>
      </c>
      <c r="G24" s="57">
        <v>59</v>
      </c>
      <c r="H24" s="57">
        <v>114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90">
        <f t="shared" si="0"/>
        <v>519</v>
      </c>
      <c r="P24" s="190">
        <f t="shared" si="1"/>
        <v>569</v>
      </c>
      <c r="Q24" s="19"/>
      <c r="R24" s="19"/>
    </row>
    <row r="25" spans="1:20" s="165" customFormat="1" ht="14.25">
      <c r="A25" s="163"/>
      <c r="B25" s="164" t="s">
        <v>224</v>
      </c>
      <c r="C25" s="164">
        <f aca="true" t="shared" si="2" ref="C25:P25">SUM(C6:C24)</f>
        <v>77029</v>
      </c>
      <c r="D25" s="164">
        <f t="shared" si="2"/>
        <v>52087</v>
      </c>
      <c r="E25" s="164">
        <f t="shared" si="2"/>
        <v>13989</v>
      </c>
      <c r="F25" s="164">
        <f t="shared" si="2"/>
        <v>26165</v>
      </c>
      <c r="G25" s="164">
        <f t="shared" si="2"/>
        <v>6437</v>
      </c>
      <c r="H25" s="164">
        <f t="shared" si="2"/>
        <v>5887</v>
      </c>
      <c r="I25" s="164">
        <f t="shared" si="2"/>
        <v>60</v>
      </c>
      <c r="J25" s="164">
        <f t="shared" si="2"/>
        <v>90</v>
      </c>
      <c r="K25" s="164">
        <f t="shared" si="2"/>
        <v>2401</v>
      </c>
      <c r="L25" s="164">
        <f t="shared" si="2"/>
        <v>1842</v>
      </c>
      <c r="M25" s="164">
        <f>SUM(M6:M24)</f>
        <v>35889</v>
      </c>
      <c r="N25" s="164">
        <f>SUM(N6:N24)</f>
        <v>52076</v>
      </c>
      <c r="O25" s="197">
        <f t="shared" si="2"/>
        <v>135805</v>
      </c>
      <c r="P25" s="197">
        <f t="shared" si="2"/>
        <v>138147</v>
      </c>
      <c r="Q25" s="209"/>
      <c r="R25" s="209"/>
      <c r="S25" s="232"/>
      <c r="T25" s="232"/>
    </row>
    <row r="26" spans="1:18" ht="12.75">
      <c r="A26" s="54">
        <v>20</v>
      </c>
      <c r="B26" s="57" t="s">
        <v>23</v>
      </c>
      <c r="C26" s="57">
        <v>84</v>
      </c>
      <c r="D26" s="57">
        <v>155</v>
      </c>
      <c r="E26" s="57">
        <v>14</v>
      </c>
      <c r="F26" s="57">
        <v>43</v>
      </c>
      <c r="G26" s="57">
        <v>5</v>
      </c>
      <c r="H26" s="57">
        <v>35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190">
        <f aca="true" t="shared" si="3" ref="O26:O32">C26+E26+G26+I26+K26+M26</f>
        <v>103</v>
      </c>
      <c r="P26" s="190">
        <f aca="true" t="shared" si="4" ref="P26:P32">D26+F26+H26+J26+L26+N26</f>
        <v>233</v>
      </c>
      <c r="Q26" s="19"/>
      <c r="R26" s="19"/>
    </row>
    <row r="27" spans="1:18" ht="12.75">
      <c r="A27" s="54">
        <v>21</v>
      </c>
      <c r="B27" s="57" t="s">
        <v>269</v>
      </c>
      <c r="C27" s="57">
        <v>32</v>
      </c>
      <c r="D27" s="57">
        <v>297</v>
      </c>
      <c r="E27" s="57">
        <v>8</v>
      </c>
      <c r="F27" s="57">
        <v>58</v>
      </c>
      <c r="G27" s="57">
        <v>5</v>
      </c>
      <c r="H27" s="57">
        <v>37</v>
      </c>
      <c r="I27" s="57">
        <v>0</v>
      </c>
      <c r="J27" s="57">
        <v>0</v>
      </c>
      <c r="K27" s="57">
        <v>0</v>
      </c>
      <c r="L27" s="57">
        <v>0</v>
      </c>
      <c r="M27" s="57">
        <v>14</v>
      </c>
      <c r="N27" s="57">
        <v>144</v>
      </c>
      <c r="O27" s="190">
        <f t="shared" si="3"/>
        <v>59</v>
      </c>
      <c r="P27" s="190">
        <f t="shared" si="4"/>
        <v>536</v>
      </c>
      <c r="Q27" s="19"/>
      <c r="R27" s="19"/>
    </row>
    <row r="28" spans="1:18" ht="12.75">
      <c r="A28" s="54">
        <v>22</v>
      </c>
      <c r="B28" s="57" t="s">
        <v>169</v>
      </c>
      <c r="C28" s="57">
        <v>114</v>
      </c>
      <c r="D28" s="57">
        <v>234</v>
      </c>
      <c r="E28" s="57">
        <v>62</v>
      </c>
      <c r="F28" s="57">
        <v>120</v>
      </c>
      <c r="G28" s="57">
        <v>1</v>
      </c>
      <c r="H28" s="57">
        <v>3</v>
      </c>
      <c r="I28" s="57">
        <v>0</v>
      </c>
      <c r="J28" s="57">
        <v>0</v>
      </c>
      <c r="K28" s="57">
        <v>0</v>
      </c>
      <c r="L28" s="57">
        <v>0</v>
      </c>
      <c r="M28" s="57">
        <v>2</v>
      </c>
      <c r="N28" s="57">
        <v>7</v>
      </c>
      <c r="O28" s="190">
        <f t="shared" si="3"/>
        <v>179</v>
      </c>
      <c r="P28" s="190">
        <f t="shared" si="4"/>
        <v>364</v>
      </c>
      <c r="Q28" s="19"/>
      <c r="R28" s="19"/>
    </row>
    <row r="29" spans="1:18" ht="12.75">
      <c r="A29" s="54">
        <v>23</v>
      </c>
      <c r="B29" s="57" t="s">
        <v>22</v>
      </c>
      <c r="C29" s="57">
        <v>24</v>
      </c>
      <c r="D29" s="57">
        <v>47</v>
      </c>
      <c r="E29" s="57">
        <v>13</v>
      </c>
      <c r="F29" s="57">
        <v>74</v>
      </c>
      <c r="G29" s="57">
        <v>35</v>
      </c>
      <c r="H29" s="57">
        <v>106</v>
      </c>
      <c r="I29" s="57">
        <v>0</v>
      </c>
      <c r="J29" s="57">
        <v>0</v>
      </c>
      <c r="K29" s="57">
        <v>0</v>
      </c>
      <c r="L29" s="57">
        <v>0</v>
      </c>
      <c r="M29" s="57">
        <v>4</v>
      </c>
      <c r="N29" s="57">
        <v>54</v>
      </c>
      <c r="O29" s="190">
        <f t="shared" si="3"/>
        <v>76</v>
      </c>
      <c r="P29" s="190">
        <f t="shared" si="4"/>
        <v>281</v>
      </c>
      <c r="Q29" s="19"/>
      <c r="R29" s="19"/>
    </row>
    <row r="30" spans="1:18" s="103" customFormat="1" ht="12.75">
      <c r="A30" s="54">
        <v>24</v>
      </c>
      <c r="B30" s="57" t="s">
        <v>141</v>
      </c>
      <c r="C30" s="57">
        <v>176</v>
      </c>
      <c r="D30" s="57">
        <v>191</v>
      </c>
      <c r="E30" s="57">
        <v>15</v>
      </c>
      <c r="F30" s="57">
        <v>70</v>
      </c>
      <c r="G30" s="57">
        <v>40</v>
      </c>
      <c r="H30" s="57">
        <v>139</v>
      </c>
      <c r="I30" s="57">
        <v>0</v>
      </c>
      <c r="J30" s="57">
        <v>0</v>
      </c>
      <c r="K30" s="57">
        <v>0</v>
      </c>
      <c r="L30" s="57">
        <v>0</v>
      </c>
      <c r="M30" s="57">
        <v>149</v>
      </c>
      <c r="N30" s="57">
        <v>894</v>
      </c>
      <c r="O30" s="190">
        <f t="shared" si="3"/>
        <v>380</v>
      </c>
      <c r="P30" s="190">
        <f t="shared" si="4"/>
        <v>1294</v>
      </c>
      <c r="Q30" s="19"/>
      <c r="R30" s="19"/>
    </row>
    <row r="31" spans="1:18" ht="12.75">
      <c r="A31" s="54">
        <v>25</v>
      </c>
      <c r="B31" s="57" t="s">
        <v>18</v>
      </c>
      <c r="C31" s="57">
        <v>25794</v>
      </c>
      <c r="D31" s="57">
        <v>27119</v>
      </c>
      <c r="E31" s="57">
        <v>3117</v>
      </c>
      <c r="F31" s="57">
        <v>6468</v>
      </c>
      <c r="G31" s="57">
        <v>1355</v>
      </c>
      <c r="H31" s="57">
        <v>2405</v>
      </c>
      <c r="I31" s="57">
        <v>4</v>
      </c>
      <c r="J31" s="57">
        <v>19</v>
      </c>
      <c r="K31" s="57">
        <v>495</v>
      </c>
      <c r="L31" s="57">
        <v>690</v>
      </c>
      <c r="M31" s="57">
        <v>12510</v>
      </c>
      <c r="N31" s="57">
        <v>13036</v>
      </c>
      <c r="O31" s="190">
        <f t="shared" si="3"/>
        <v>43275</v>
      </c>
      <c r="P31" s="190">
        <f t="shared" si="4"/>
        <v>49737</v>
      </c>
      <c r="Q31" s="19"/>
      <c r="R31" s="19"/>
    </row>
    <row r="32" spans="1:18" ht="12.75">
      <c r="A32" s="54">
        <v>26</v>
      </c>
      <c r="B32" s="57" t="s">
        <v>104</v>
      </c>
      <c r="C32" s="57">
        <v>36712</v>
      </c>
      <c r="D32" s="57">
        <v>66867</v>
      </c>
      <c r="E32" s="57">
        <v>13388</v>
      </c>
      <c r="F32" s="57">
        <v>23947</v>
      </c>
      <c r="G32" s="57">
        <v>4249</v>
      </c>
      <c r="H32" s="57">
        <v>12542</v>
      </c>
      <c r="I32" s="57">
        <v>597</v>
      </c>
      <c r="J32" s="57">
        <v>358</v>
      </c>
      <c r="K32" s="57">
        <v>360</v>
      </c>
      <c r="L32" s="57">
        <v>351</v>
      </c>
      <c r="M32" s="57">
        <v>0</v>
      </c>
      <c r="N32" s="57">
        <v>0</v>
      </c>
      <c r="O32" s="190">
        <f t="shared" si="3"/>
        <v>55306</v>
      </c>
      <c r="P32" s="190">
        <f t="shared" si="4"/>
        <v>104065</v>
      </c>
      <c r="Q32" s="19"/>
      <c r="R32" s="19"/>
    </row>
    <row r="33" spans="1:20" s="165" customFormat="1" ht="14.25">
      <c r="A33" s="163"/>
      <c r="B33" s="164" t="s">
        <v>226</v>
      </c>
      <c r="C33" s="164">
        <f aca="true" t="shared" si="5" ref="C33:P33">SUM(C26:C32)</f>
        <v>62936</v>
      </c>
      <c r="D33" s="164">
        <f t="shared" si="5"/>
        <v>94910</v>
      </c>
      <c r="E33" s="164">
        <f t="shared" si="5"/>
        <v>16617</v>
      </c>
      <c r="F33" s="164">
        <f t="shared" si="5"/>
        <v>30780</v>
      </c>
      <c r="G33" s="164">
        <f t="shared" si="5"/>
        <v>5690</v>
      </c>
      <c r="H33" s="164">
        <f t="shared" si="5"/>
        <v>15267</v>
      </c>
      <c r="I33" s="164">
        <f t="shared" si="5"/>
        <v>601</v>
      </c>
      <c r="J33" s="164">
        <f t="shared" si="5"/>
        <v>377</v>
      </c>
      <c r="K33" s="164">
        <f t="shared" si="5"/>
        <v>855</v>
      </c>
      <c r="L33" s="164">
        <f t="shared" si="5"/>
        <v>1041</v>
      </c>
      <c r="M33" s="164">
        <f>SUM(M26:M32)</f>
        <v>12679</v>
      </c>
      <c r="N33" s="164">
        <f>SUM(N26:N32)</f>
        <v>14135</v>
      </c>
      <c r="O33" s="197">
        <f t="shared" si="5"/>
        <v>99378</v>
      </c>
      <c r="P33" s="197">
        <f t="shared" si="5"/>
        <v>156510</v>
      </c>
      <c r="Q33" s="209"/>
      <c r="R33" s="209"/>
      <c r="S33" s="232"/>
      <c r="T33" s="232"/>
    </row>
    <row r="34" spans="1:18" ht="12.75">
      <c r="A34" s="54">
        <v>27</v>
      </c>
      <c r="B34" s="57" t="s">
        <v>163</v>
      </c>
      <c r="C34" s="57">
        <v>212</v>
      </c>
      <c r="D34" s="57">
        <v>187</v>
      </c>
      <c r="E34" s="57">
        <v>25</v>
      </c>
      <c r="F34" s="57">
        <v>20</v>
      </c>
      <c r="G34" s="57">
        <v>11</v>
      </c>
      <c r="H34" s="57">
        <v>14</v>
      </c>
      <c r="I34" s="57">
        <v>2</v>
      </c>
      <c r="J34" s="57">
        <v>6</v>
      </c>
      <c r="K34" s="57">
        <v>0</v>
      </c>
      <c r="L34" s="57">
        <v>0</v>
      </c>
      <c r="M34" s="57">
        <v>0</v>
      </c>
      <c r="N34" s="57">
        <v>0</v>
      </c>
      <c r="O34" s="190">
        <f aca="true" t="shared" si="6" ref="O34:O46">C34+E34+G34+I34+K34+M34</f>
        <v>250</v>
      </c>
      <c r="P34" s="190">
        <f aca="true" t="shared" si="7" ref="P34:P46">D34+F34+H34+J34+L34+N34</f>
        <v>227</v>
      </c>
      <c r="Q34" s="19"/>
      <c r="R34" s="19"/>
    </row>
    <row r="35" spans="1:18" s="103" customFormat="1" ht="12.75">
      <c r="A35" s="54">
        <v>28</v>
      </c>
      <c r="B35" s="57" t="s">
        <v>231</v>
      </c>
      <c r="C35" s="57">
        <v>133</v>
      </c>
      <c r="D35" s="57">
        <v>340</v>
      </c>
      <c r="E35" s="57">
        <v>62</v>
      </c>
      <c r="F35" s="57">
        <v>192</v>
      </c>
      <c r="G35" s="57">
        <v>10</v>
      </c>
      <c r="H35" s="57">
        <v>25</v>
      </c>
      <c r="I35" s="57">
        <v>0</v>
      </c>
      <c r="J35" s="57">
        <v>1</v>
      </c>
      <c r="K35" s="57">
        <v>0</v>
      </c>
      <c r="L35" s="57">
        <v>0</v>
      </c>
      <c r="M35" s="57">
        <v>0</v>
      </c>
      <c r="N35" s="57">
        <v>0</v>
      </c>
      <c r="O35" s="190">
        <f t="shared" si="6"/>
        <v>205</v>
      </c>
      <c r="P35" s="190">
        <f t="shared" si="7"/>
        <v>558</v>
      </c>
      <c r="Q35" s="19"/>
      <c r="R35" s="19"/>
    </row>
    <row r="36" spans="1:18" ht="12.75">
      <c r="A36" s="54">
        <v>29</v>
      </c>
      <c r="B36" s="57" t="s">
        <v>218</v>
      </c>
      <c r="C36" s="57">
        <v>15600</v>
      </c>
      <c r="D36" s="57">
        <v>4801</v>
      </c>
      <c r="E36" s="57">
        <v>237</v>
      </c>
      <c r="F36" s="57">
        <v>573</v>
      </c>
      <c r="G36" s="57">
        <v>632</v>
      </c>
      <c r="H36" s="57">
        <v>188</v>
      </c>
      <c r="I36" s="57">
        <v>0</v>
      </c>
      <c r="J36" s="57">
        <v>0</v>
      </c>
      <c r="K36" s="57">
        <v>2999</v>
      </c>
      <c r="L36" s="57">
        <v>265</v>
      </c>
      <c r="M36" s="57">
        <v>0</v>
      </c>
      <c r="N36" s="57">
        <v>0</v>
      </c>
      <c r="O36" s="190">
        <f t="shared" si="6"/>
        <v>19468</v>
      </c>
      <c r="P36" s="190">
        <f t="shared" si="7"/>
        <v>5827</v>
      </c>
      <c r="Q36" s="19"/>
      <c r="R36" s="19"/>
    </row>
    <row r="37" spans="1:18" ht="12.75">
      <c r="A37" s="54">
        <v>30</v>
      </c>
      <c r="B37" s="57" t="s">
        <v>284</v>
      </c>
      <c r="C37" s="57">
        <v>192</v>
      </c>
      <c r="D37" s="57">
        <v>137</v>
      </c>
      <c r="E37" s="57">
        <v>17</v>
      </c>
      <c r="F37" s="57">
        <v>21</v>
      </c>
      <c r="G37" s="57">
        <v>11</v>
      </c>
      <c r="H37" s="57">
        <v>4</v>
      </c>
      <c r="I37" s="57">
        <v>0</v>
      </c>
      <c r="J37" s="57">
        <v>0</v>
      </c>
      <c r="K37" s="57">
        <v>0</v>
      </c>
      <c r="L37" s="57">
        <v>0</v>
      </c>
      <c r="M37" s="57">
        <v>108</v>
      </c>
      <c r="N37" s="57">
        <v>370</v>
      </c>
      <c r="O37" s="190">
        <f t="shared" si="6"/>
        <v>328</v>
      </c>
      <c r="P37" s="190">
        <f t="shared" si="7"/>
        <v>532</v>
      </c>
      <c r="Q37" s="19"/>
      <c r="R37" s="19"/>
    </row>
    <row r="38" spans="1:18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190" t="s">
        <v>415</v>
      </c>
      <c r="P38" s="190">
        <f t="shared" si="7"/>
        <v>0</v>
      </c>
      <c r="Q38" s="19"/>
      <c r="R38" s="19"/>
    </row>
    <row r="39" spans="1:18" ht="12.75">
      <c r="A39" s="54">
        <v>32</v>
      </c>
      <c r="B39" s="57" t="s">
        <v>220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190">
        <f t="shared" si="6"/>
        <v>0</v>
      </c>
      <c r="P39" s="190">
        <f t="shared" si="7"/>
        <v>0</v>
      </c>
      <c r="Q39" s="19"/>
      <c r="R39" s="19"/>
    </row>
    <row r="40" spans="1:18" ht="12.75">
      <c r="A40" s="110">
        <v>33</v>
      </c>
      <c r="B40" s="113" t="s">
        <v>363</v>
      </c>
      <c r="C40" s="57">
        <v>23</v>
      </c>
      <c r="D40" s="57">
        <v>54</v>
      </c>
      <c r="E40" s="57">
        <v>11</v>
      </c>
      <c r="F40" s="57">
        <v>253</v>
      </c>
      <c r="G40" s="57">
        <v>9</v>
      </c>
      <c r="H40" s="57">
        <v>11</v>
      </c>
      <c r="I40" s="57">
        <v>0</v>
      </c>
      <c r="J40" s="57">
        <v>0</v>
      </c>
      <c r="K40" s="57">
        <v>0</v>
      </c>
      <c r="L40" s="57">
        <v>0</v>
      </c>
      <c r="M40" s="57">
        <v>4</v>
      </c>
      <c r="N40" s="57">
        <v>4</v>
      </c>
      <c r="O40" s="190">
        <f t="shared" si="6"/>
        <v>47</v>
      </c>
      <c r="P40" s="190">
        <f t="shared" si="7"/>
        <v>322</v>
      </c>
      <c r="Q40" s="19"/>
      <c r="R40" s="19"/>
    </row>
    <row r="41" spans="1:18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190">
        <f t="shared" si="6"/>
        <v>0</v>
      </c>
      <c r="P41" s="190">
        <f t="shared" si="7"/>
        <v>0</v>
      </c>
      <c r="Q41" s="19"/>
      <c r="R41" s="19"/>
    </row>
    <row r="42" spans="1:18" ht="12.75">
      <c r="A42" s="54">
        <v>35</v>
      </c>
      <c r="B42" s="51" t="s">
        <v>256</v>
      </c>
      <c r="C42" s="57">
        <v>73</v>
      </c>
      <c r="D42" s="57">
        <v>68</v>
      </c>
      <c r="E42" s="57">
        <v>32</v>
      </c>
      <c r="F42" s="57">
        <v>26</v>
      </c>
      <c r="G42" s="57">
        <v>609</v>
      </c>
      <c r="H42" s="57">
        <v>487</v>
      </c>
      <c r="I42" s="57">
        <v>0</v>
      </c>
      <c r="J42" s="57">
        <v>0</v>
      </c>
      <c r="K42" s="57">
        <v>0</v>
      </c>
      <c r="L42" s="57">
        <v>0</v>
      </c>
      <c r="M42" s="57">
        <v>68</v>
      </c>
      <c r="N42" s="57">
        <v>20</v>
      </c>
      <c r="O42" s="190">
        <f t="shared" si="6"/>
        <v>782</v>
      </c>
      <c r="P42" s="190">
        <f t="shared" si="7"/>
        <v>601</v>
      </c>
      <c r="Q42" s="19"/>
      <c r="R42" s="19"/>
    </row>
    <row r="43" spans="1:18" ht="12.75">
      <c r="A43" s="54">
        <v>36</v>
      </c>
      <c r="B43" s="51" t="s">
        <v>24</v>
      </c>
      <c r="C43" s="57">
        <v>129</v>
      </c>
      <c r="D43" s="57">
        <v>383</v>
      </c>
      <c r="E43" s="57">
        <v>11</v>
      </c>
      <c r="F43" s="57">
        <v>18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11</v>
      </c>
      <c r="N43" s="57">
        <v>118</v>
      </c>
      <c r="O43" s="190">
        <f t="shared" si="6"/>
        <v>151</v>
      </c>
      <c r="P43" s="190">
        <f t="shared" si="7"/>
        <v>519</v>
      </c>
      <c r="Q43" s="19"/>
      <c r="R43" s="19"/>
    </row>
    <row r="44" spans="1:18" ht="12.75">
      <c r="A44" s="54">
        <v>37</v>
      </c>
      <c r="B44" s="51" t="s">
        <v>223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190">
        <f t="shared" si="6"/>
        <v>0</v>
      </c>
      <c r="P44" s="190">
        <f t="shared" si="7"/>
        <v>0</v>
      </c>
      <c r="Q44" s="19"/>
      <c r="R44" s="19"/>
    </row>
    <row r="45" spans="1:18" ht="12.75">
      <c r="A45" s="54">
        <v>38</v>
      </c>
      <c r="B45" s="51" t="s">
        <v>364</v>
      </c>
      <c r="C45" s="57">
        <v>1</v>
      </c>
      <c r="D45" s="57">
        <v>0</v>
      </c>
      <c r="E45" s="57">
        <v>0</v>
      </c>
      <c r="F45" s="57">
        <v>0</v>
      </c>
      <c r="G45" s="57">
        <v>78</v>
      </c>
      <c r="H45" s="57">
        <v>426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190">
        <f t="shared" si="6"/>
        <v>79</v>
      </c>
      <c r="P45" s="190">
        <f t="shared" si="7"/>
        <v>426</v>
      </c>
      <c r="Q45" s="19"/>
      <c r="R45" s="19"/>
    </row>
    <row r="46" spans="1:18" ht="12.75">
      <c r="A46" s="54">
        <v>39</v>
      </c>
      <c r="B46" s="57" t="s">
        <v>367</v>
      </c>
      <c r="C46" s="57">
        <v>18</v>
      </c>
      <c r="D46" s="57">
        <v>63</v>
      </c>
      <c r="E46" s="57">
        <v>7</v>
      </c>
      <c r="F46" s="57">
        <v>13</v>
      </c>
      <c r="G46" s="57">
        <v>0</v>
      </c>
      <c r="H46" s="57">
        <v>0</v>
      </c>
      <c r="I46" s="57">
        <v>0</v>
      </c>
      <c r="J46" s="57">
        <v>0</v>
      </c>
      <c r="K46" s="57">
        <v>1</v>
      </c>
      <c r="L46" s="57">
        <v>1</v>
      </c>
      <c r="M46" s="57">
        <v>3</v>
      </c>
      <c r="N46" s="57">
        <v>44</v>
      </c>
      <c r="O46" s="190">
        <f t="shared" si="6"/>
        <v>29</v>
      </c>
      <c r="P46" s="190">
        <f t="shared" si="7"/>
        <v>121</v>
      </c>
      <c r="Q46" s="19"/>
      <c r="R46" s="19"/>
    </row>
    <row r="47" spans="1:20" s="165" customFormat="1" ht="14.25">
      <c r="A47" s="163"/>
      <c r="B47" s="164" t="s">
        <v>225</v>
      </c>
      <c r="C47" s="164">
        <f>SUM(C34:C46)</f>
        <v>16381</v>
      </c>
      <c r="D47" s="164">
        <f aca="true" t="shared" si="8" ref="D47:N47">SUM(D34:D46)</f>
        <v>6033</v>
      </c>
      <c r="E47" s="164">
        <f t="shared" si="8"/>
        <v>402</v>
      </c>
      <c r="F47" s="164">
        <f t="shared" si="8"/>
        <v>1116</v>
      </c>
      <c r="G47" s="164">
        <f t="shared" si="8"/>
        <v>1360</v>
      </c>
      <c r="H47" s="164">
        <f t="shared" si="8"/>
        <v>1155</v>
      </c>
      <c r="I47" s="164">
        <f t="shared" si="8"/>
        <v>2</v>
      </c>
      <c r="J47" s="164">
        <f t="shared" si="8"/>
        <v>7</v>
      </c>
      <c r="K47" s="164">
        <f t="shared" si="8"/>
        <v>3000</v>
      </c>
      <c r="L47" s="164">
        <f t="shared" si="8"/>
        <v>266</v>
      </c>
      <c r="M47" s="164">
        <f t="shared" si="8"/>
        <v>194</v>
      </c>
      <c r="N47" s="164">
        <f t="shared" si="8"/>
        <v>556</v>
      </c>
      <c r="O47" s="197">
        <f>SUM(O34:O46)</f>
        <v>21339</v>
      </c>
      <c r="P47" s="197">
        <f>SUM(P34:P46)</f>
        <v>9133</v>
      </c>
      <c r="Q47" s="209"/>
      <c r="R47" s="209"/>
      <c r="S47" s="232"/>
      <c r="T47" s="232"/>
    </row>
    <row r="48" spans="1:20" s="165" customFormat="1" ht="14.25">
      <c r="A48" s="163"/>
      <c r="B48" s="204" t="s">
        <v>123</v>
      </c>
      <c r="C48" s="164">
        <f aca="true" t="shared" si="9" ref="C48:P48">C25+C33+C47</f>
        <v>156346</v>
      </c>
      <c r="D48" s="164">
        <f t="shared" si="9"/>
        <v>153030</v>
      </c>
      <c r="E48" s="164">
        <f t="shared" si="9"/>
        <v>31008</v>
      </c>
      <c r="F48" s="164">
        <f t="shared" si="9"/>
        <v>58061</v>
      </c>
      <c r="G48" s="164">
        <f t="shared" si="9"/>
        <v>13487</v>
      </c>
      <c r="H48" s="164">
        <f t="shared" si="9"/>
        <v>22309</v>
      </c>
      <c r="I48" s="164">
        <f t="shared" si="9"/>
        <v>663</v>
      </c>
      <c r="J48" s="164">
        <f t="shared" si="9"/>
        <v>474</v>
      </c>
      <c r="K48" s="164">
        <f t="shared" si="9"/>
        <v>6256</v>
      </c>
      <c r="L48" s="164">
        <f t="shared" si="9"/>
        <v>3149</v>
      </c>
      <c r="M48" s="164">
        <f t="shared" si="9"/>
        <v>48762</v>
      </c>
      <c r="N48" s="164">
        <f t="shared" si="9"/>
        <v>66767</v>
      </c>
      <c r="O48" s="197">
        <f t="shared" si="9"/>
        <v>256522</v>
      </c>
      <c r="P48" s="197">
        <f t="shared" si="9"/>
        <v>303790</v>
      </c>
      <c r="Q48" s="209"/>
      <c r="R48" s="209"/>
      <c r="S48" s="232"/>
      <c r="T48" s="232"/>
    </row>
    <row r="49" spans="1:18" ht="13.5" customHeight="1">
      <c r="A49" s="31"/>
      <c r="B49" s="201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191"/>
      <c r="P49" s="191"/>
      <c r="Q49" s="19"/>
      <c r="R49" s="19"/>
    </row>
    <row r="50" spans="1:18" ht="14.25">
      <c r="A50" s="27"/>
      <c r="B50" s="201"/>
      <c r="C50" s="36"/>
      <c r="D50" s="36"/>
      <c r="E50" s="36"/>
      <c r="F50" s="36"/>
      <c r="G50" s="36"/>
      <c r="H50" s="36"/>
      <c r="I50" s="67"/>
      <c r="J50" s="67"/>
      <c r="K50" s="67"/>
      <c r="L50" s="67"/>
      <c r="M50" s="67"/>
      <c r="N50" s="67"/>
      <c r="O50" s="191"/>
      <c r="P50" s="191"/>
      <c r="Q50" s="19"/>
      <c r="R50" s="19"/>
    </row>
    <row r="51" spans="1:18" ht="18" customHeight="1">
      <c r="A51" s="31"/>
      <c r="B51" s="102"/>
      <c r="C51" s="67" t="s">
        <v>36</v>
      </c>
      <c r="D51" s="36"/>
      <c r="E51" s="36"/>
      <c r="F51" s="36"/>
      <c r="G51" s="36"/>
      <c r="H51" s="67"/>
      <c r="I51" s="67"/>
      <c r="J51" s="67"/>
      <c r="K51" s="67"/>
      <c r="L51" s="67"/>
      <c r="M51" s="67"/>
      <c r="N51" s="67"/>
      <c r="O51" s="250"/>
      <c r="P51" s="191"/>
      <c r="Q51" s="19"/>
      <c r="R51" s="19"/>
    </row>
    <row r="52" spans="1:18" ht="12.75">
      <c r="A52" s="43" t="s">
        <v>4</v>
      </c>
      <c r="B52" s="202" t="s">
        <v>5</v>
      </c>
      <c r="C52" s="659" t="s">
        <v>149</v>
      </c>
      <c r="D52" s="660"/>
      <c r="E52" s="659" t="s">
        <v>148</v>
      </c>
      <c r="F52" s="660"/>
      <c r="G52" s="659" t="s">
        <v>147</v>
      </c>
      <c r="H52" s="660"/>
      <c r="I52" s="659" t="s">
        <v>146</v>
      </c>
      <c r="J52" s="660"/>
      <c r="K52" s="662" t="s">
        <v>145</v>
      </c>
      <c r="L52" s="662"/>
      <c r="M52" s="662" t="s">
        <v>228</v>
      </c>
      <c r="N52" s="662"/>
      <c r="O52" s="661" t="s">
        <v>3</v>
      </c>
      <c r="P52" s="661"/>
      <c r="Q52" s="19"/>
      <c r="R52" s="19"/>
    </row>
    <row r="53" spans="1:18" ht="12.75">
      <c r="A53" s="43"/>
      <c r="B53" s="202"/>
      <c r="C53" s="235"/>
      <c r="D53" s="217"/>
      <c r="E53" s="235"/>
      <c r="F53" s="217"/>
      <c r="G53" s="235"/>
      <c r="H53" s="217"/>
      <c r="I53" s="235"/>
      <c r="J53" s="217"/>
      <c r="K53" s="130"/>
      <c r="L53" s="130"/>
      <c r="M53" s="130"/>
      <c r="N53" s="130"/>
      <c r="O53" s="252"/>
      <c r="P53" s="252"/>
      <c r="Q53" s="19"/>
      <c r="R53" s="19"/>
    </row>
    <row r="54" spans="1:18" ht="12.75">
      <c r="A54" s="43"/>
      <c r="B54" s="202"/>
      <c r="C54" s="235"/>
      <c r="D54" s="217"/>
      <c r="E54" s="235"/>
      <c r="F54" s="217"/>
      <c r="G54" s="235"/>
      <c r="H54" s="217"/>
      <c r="I54" s="235"/>
      <c r="J54" s="217"/>
      <c r="K54" s="130"/>
      <c r="L54" s="130"/>
      <c r="M54" s="130"/>
      <c r="N54" s="130"/>
      <c r="O54" s="252"/>
      <c r="P54" s="252"/>
      <c r="Q54" s="19"/>
      <c r="R54" s="19"/>
    </row>
    <row r="55" spans="1:16" ht="13.5" customHeight="1">
      <c r="A55" s="43" t="s">
        <v>4</v>
      </c>
      <c r="B55" s="202" t="s">
        <v>5</v>
      </c>
      <c r="C55" s="659" t="s">
        <v>149</v>
      </c>
      <c r="D55" s="660"/>
      <c r="E55" s="659" t="s">
        <v>148</v>
      </c>
      <c r="F55" s="660"/>
      <c r="G55" s="659" t="s">
        <v>147</v>
      </c>
      <c r="H55" s="660"/>
      <c r="I55" s="659" t="s">
        <v>146</v>
      </c>
      <c r="J55" s="660"/>
      <c r="K55" s="662" t="s">
        <v>145</v>
      </c>
      <c r="L55" s="662"/>
      <c r="M55" s="662" t="s">
        <v>228</v>
      </c>
      <c r="N55" s="662"/>
      <c r="O55" s="661" t="s">
        <v>3</v>
      </c>
      <c r="P55" s="661"/>
    </row>
    <row r="56" spans="1:18" ht="13.5" customHeight="1">
      <c r="A56" s="47" t="s">
        <v>6</v>
      </c>
      <c r="B56" s="186"/>
      <c r="C56" s="130" t="s">
        <v>57</v>
      </c>
      <c r="D56" s="130" t="s">
        <v>63</v>
      </c>
      <c r="E56" s="130" t="s">
        <v>57</v>
      </c>
      <c r="F56" s="130" t="s">
        <v>63</v>
      </c>
      <c r="G56" s="130" t="s">
        <v>57</v>
      </c>
      <c r="H56" s="130" t="s">
        <v>63</v>
      </c>
      <c r="I56" s="130" t="s">
        <v>57</v>
      </c>
      <c r="J56" s="130" t="s">
        <v>63</v>
      </c>
      <c r="K56" s="130" t="s">
        <v>57</v>
      </c>
      <c r="L56" s="130" t="s">
        <v>63</v>
      </c>
      <c r="M56" s="130" t="s">
        <v>57</v>
      </c>
      <c r="N56" s="130" t="s">
        <v>63</v>
      </c>
      <c r="O56" s="252" t="s">
        <v>57</v>
      </c>
      <c r="P56" s="252" t="s">
        <v>63</v>
      </c>
      <c r="Q56" s="19"/>
      <c r="R56" s="19"/>
    </row>
    <row r="57" spans="1:18" ht="15" customHeight="1">
      <c r="A57" s="54">
        <v>40</v>
      </c>
      <c r="B57" s="57" t="s">
        <v>78</v>
      </c>
      <c r="C57" s="57">
        <v>1191</v>
      </c>
      <c r="D57" s="57">
        <v>1591</v>
      </c>
      <c r="E57" s="57">
        <v>13</v>
      </c>
      <c r="F57" s="57">
        <v>6</v>
      </c>
      <c r="G57" s="57">
        <v>45</v>
      </c>
      <c r="H57" s="57">
        <v>19</v>
      </c>
      <c r="I57" s="57">
        <v>0</v>
      </c>
      <c r="J57" s="57">
        <v>0</v>
      </c>
      <c r="K57" s="57">
        <v>0</v>
      </c>
      <c r="L57" s="57">
        <v>0</v>
      </c>
      <c r="M57" s="57">
        <v>464</v>
      </c>
      <c r="N57" s="57">
        <v>645</v>
      </c>
      <c r="O57" s="190">
        <f aca="true" t="shared" si="10" ref="O57:O64">C57+E57+G57+I57+K57+M57</f>
        <v>1713</v>
      </c>
      <c r="P57" s="190">
        <f aca="true" t="shared" si="11" ref="P57:P64">D57+F57+H57+J57+L57+N57</f>
        <v>2261</v>
      </c>
      <c r="Q57" s="19"/>
      <c r="R57" s="19"/>
    </row>
    <row r="58" spans="1:18" ht="15" customHeight="1">
      <c r="A58" s="54">
        <v>41</v>
      </c>
      <c r="B58" s="57" t="s">
        <v>278</v>
      </c>
      <c r="C58" s="57">
        <v>6598</v>
      </c>
      <c r="D58" s="57">
        <v>2649</v>
      </c>
      <c r="E58" s="57">
        <v>612</v>
      </c>
      <c r="F58" s="57">
        <v>1219</v>
      </c>
      <c r="G58" s="57">
        <v>195</v>
      </c>
      <c r="H58" s="57">
        <v>95</v>
      </c>
      <c r="I58" s="57">
        <v>0</v>
      </c>
      <c r="J58" s="57">
        <v>0</v>
      </c>
      <c r="K58" s="57">
        <v>37</v>
      </c>
      <c r="L58" s="57">
        <v>86</v>
      </c>
      <c r="M58" s="57">
        <v>11029</v>
      </c>
      <c r="N58" s="57">
        <v>9508</v>
      </c>
      <c r="O58" s="190">
        <f t="shared" si="10"/>
        <v>18471</v>
      </c>
      <c r="P58" s="190">
        <f t="shared" si="11"/>
        <v>13557</v>
      </c>
      <c r="Q58" s="19"/>
      <c r="R58" s="19"/>
    </row>
    <row r="59" spans="1:18" ht="15" customHeight="1">
      <c r="A59" s="54">
        <v>42</v>
      </c>
      <c r="B59" s="57" t="s">
        <v>30</v>
      </c>
      <c r="C59" s="57">
        <v>228</v>
      </c>
      <c r="D59" s="57">
        <v>122</v>
      </c>
      <c r="E59" s="57">
        <v>7</v>
      </c>
      <c r="F59" s="57">
        <v>6</v>
      </c>
      <c r="G59" s="57">
        <v>3</v>
      </c>
      <c r="H59" s="57">
        <v>3</v>
      </c>
      <c r="I59" s="57">
        <v>0</v>
      </c>
      <c r="J59" s="57">
        <v>0</v>
      </c>
      <c r="K59" s="57">
        <v>0</v>
      </c>
      <c r="L59" s="57">
        <v>0</v>
      </c>
      <c r="M59" s="57">
        <v>73</v>
      </c>
      <c r="N59" s="57">
        <v>39</v>
      </c>
      <c r="O59" s="190">
        <f t="shared" si="10"/>
        <v>311</v>
      </c>
      <c r="P59" s="190">
        <f t="shared" si="11"/>
        <v>170</v>
      </c>
      <c r="Q59" s="19"/>
      <c r="R59" s="19"/>
    </row>
    <row r="60" spans="1:18" ht="15" customHeight="1">
      <c r="A60" s="54">
        <v>43</v>
      </c>
      <c r="B60" s="57" t="s">
        <v>234</v>
      </c>
      <c r="C60" s="57">
        <v>4912</v>
      </c>
      <c r="D60" s="57">
        <v>2890</v>
      </c>
      <c r="E60" s="57">
        <v>105</v>
      </c>
      <c r="F60" s="57">
        <v>99</v>
      </c>
      <c r="G60" s="57">
        <v>108</v>
      </c>
      <c r="H60" s="57">
        <v>108</v>
      </c>
      <c r="I60" s="57">
        <v>0</v>
      </c>
      <c r="J60" s="57">
        <v>0</v>
      </c>
      <c r="K60" s="57">
        <v>0</v>
      </c>
      <c r="L60" s="57">
        <v>0</v>
      </c>
      <c r="M60" s="57">
        <v>565</v>
      </c>
      <c r="N60" s="57">
        <v>458</v>
      </c>
      <c r="O60" s="190">
        <f t="shared" si="10"/>
        <v>5690</v>
      </c>
      <c r="P60" s="190">
        <f t="shared" si="11"/>
        <v>3555</v>
      </c>
      <c r="Q60" s="19"/>
      <c r="R60" s="19"/>
    </row>
    <row r="61" spans="1:18" ht="15" customHeight="1">
      <c r="A61" s="54">
        <v>44</v>
      </c>
      <c r="B61" s="57" t="s">
        <v>29</v>
      </c>
      <c r="C61" s="57">
        <v>387</v>
      </c>
      <c r="D61" s="57">
        <v>125</v>
      </c>
      <c r="E61" s="57">
        <v>4</v>
      </c>
      <c r="F61" s="57">
        <v>3</v>
      </c>
      <c r="G61" s="57">
        <v>3</v>
      </c>
      <c r="H61" s="57">
        <v>4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90">
        <f t="shared" si="10"/>
        <v>394</v>
      </c>
      <c r="P61" s="190">
        <f t="shared" si="11"/>
        <v>132</v>
      </c>
      <c r="Q61" s="19"/>
      <c r="R61" s="19"/>
    </row>
    <row r="62" spans="1:18" ht="15" customHeight="1">
      <c r="A62" s="54">
        <v>45</v>
      </c>
      <c r="B62" s="57" t="s">
        <v>391</v>
      </c>
      <c r="C62" s="57">
        <v>5903</v>
      </c>
      <c r="D62" s="57">
        <v>2957</v>
      </c>
      <c r="E62" s="57">
        <v>842</v>
      </c>
      <c r="F62" s="57">
        <v>500</v>
      </c>
      <c r="G62" s="57">
        <v>307</v>
      </c>
      <c r="H62" s="57">
        <v>121</v>
      </c>
      <c r="I62" s="57">
        <v>0</v>
      </c>
      <c r="J62" s="57">
        <v>0</v>
      </c>
      <c r="K62" s="57">
        <v>6</v>
      </c>
      <c r="L62" s="57">
        <v>1</v>
      </c>
      <c r="M62" s="57">
        <v>493</v>
      </c>
      <c r="N62" s="57">
        <v>491</v>
      </c>
      <c r="O62" s="190">
        <f t="shared" si="10"/>
        <v>7551</v>
      </c>
      <c r="P62" s="190">
        <f t="shared" si="11"/>
        <v>4070</v>
      </c>
      <c r="Q62" s="19"/>
      <c r="R62" s="19"/>
    </row>
    <row r="63" spans="1:18" ht="15" customHeight="1">
      <c r="A63" s="54">
        <v>46</v>
      </c>
      <c r="B63" s="57" t="s">
        <v>25</v>
      </c>
      <c r="C63" s="57">
        <v>708</v>
      </c>
      <c r="D63" s="57">
        <v>536</v>
      </c>
      <c r="E63" s="57">
        <v>27</v>
      </c>
      <c r="F63" s="57">
        <v>14</v>
      </c>
      <c r="G63" s="57">
        <v>6</v>
      </c>
      <c r="H63" s="57">
        <v>2</v>
      </c>
      <c r="I63" s="57">
        <v>0</v>
      </c>
      <c r="J63" s="57">
        <v>0</v>
      </c>
      <c r="K63" s="57">
        <v>0</v>
      </c>
      <c r="L63" s="57">
        <v>0</v>
      </c>
      <c r="M63" s="57">
        <v>117</v>
      </c>
      <c r="N63" s="57">
        <v>59</v>
      </c>
      <c r="O63" s="190">
        <f t="shared" si="10"/>
        <v>858</v>
      </c>
      <c r="P63" s="190">
        <f t="shared" si="11"/>
        <v>611</v>
      </c>
      <c r="Q63" s="19"/>
      <c r="R63" s="19"/>
    </row>
    <row r="64" spans="1:18" ht="15" customHeight="1">
      <c r="A64" s="54">
        <v>47</v>
      </c>
      <c r="B64" s="57" t="s">
        <v>28</v>
      </c>
      <c r="C64" s="57">
        <v>458</v>
      </c>
      <c r="D64" s="57">
        <v>396</v>
      </c>
      <c r="E64" s="57">
        <v>25</v>
      </c>
      <c r="F64" s="57">
        <v>24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1101</v>
      </c>
      <c r="N64" s="57">
        <v>1018</v>
      </c>
      <c r="O64" s="190">
        <f t="shared" si="10"/>
        <v>1584</v>
      </c>
      <c r="P64" s="190">
        <f t="shared" si="11"/>
        <v>1438</v>
      </c>
      <c r="Q64" s="19"/>
      <c r="R64" s="19"/>
    </row>
    <row r="65" spans="1:20" s="165" customFormat="1" ht="15" customHeight="1">
      <c r="A65" s="54"/>
      <c r="B65" s="204" t="s">
        <v>123</v>
      </c>
      <c r="C65" s="164">
        <f>SUM(C56:C64)</f>
        <v>20385</v>
      </c>
      <c r="D65" s="164">
        <f aca="true" t="shared" si="12" ref="D65:P65">SUM(D56:D64)</f>
        <v>11266</v>
      </c>
      <c r="E65" s="164">
        <f t="shared" si="12"/>
        <v>1635</v>
      </c>
      <c r="F65" s="164">
        <f t="shared" si="12"/>
        <v>1871</v>
      </c>
      <c r="G65" s="164">
        <f t="shared" si="12"/>
        <v>667</v>
      </c>
      <c r="H65" s="164">
        <f t="shared" si="12"/>
        <v>352</v>
      </c>
      <c r="I65" s="164">
        <f t="shared" si="12"/>
        <v>0</v>
      </c>
      <c r="J65" s="164">
        <f t="shared" si="12"/>
        <v>0</v>
      </c>
      <c r="K65" s="164">
        <f t="shared" si="12"/>
        <v>43</v>
      </c>
      <c r="L65" s="164">
        <f t="shared" si="12"/>
        <v>87</v>
      </c>
      <c r="M65" s="164">
        <f t="shared" si="12"/>
        <v>13842</v>
      </c>
      <c r="N65" s="164">
        <f t="shared" si="12"/>
        <v>12218</v>
      </c>
      <c r="O65" s="197">
        <f t="shared" si="12"/>
        <v>36572</v>
      </c>
      <c r="P65" s="197">
        <f t="shared" si="12"/>
        <v>25794</v>
      </c>
      <c r="Q65" s="209"/>
      <c r="R65" s="209"/>
      <c r="S65" s="232"/>
      <c r="T65" s="232"/>
    </row>
    <row r="66" spans="1:18" ht="15" customHeight="1">
      <c r="A66" s="54"/>
      <c r="B66" s="103" t="s">
        <v>36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190"/>
      <c r="P66" s="190"/>
      <c r="Q66" s="19"/>
      <c r="R66" s="19"/>
    </row>
    <row r="67" spans="1:18" ht="15" customHeight="1">
      <c r="A67" s="54">
        <v>48</v>
      </c>
      <c r="B67" s="57" t="s">
        <v>34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190">
        <f>C67+E67+G67+I67+K67+M67</f>
        <v>0</v>
      </c>
      <c r="P67" s="190">
        <f>D67+F67+H67+J67+L67+N67</f>
        <v>0</v>
      </c>
      <c r="Q67" s="19"/>
      <c r="R67" s="19"/>
    </row>
    <row r="68" spans="1:18" ht="15" customHeight="1">
      <c r="A68" s="54">
        <v>49</v>
      </c>
      <c r="B68" s="57" t="s">
        <v>130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190">
        <f>C68+E68+G68+I68+K68+M68</f>
        <v>0</v>
      </c>
      <c r="P68" s="190">
        <f>D68+F68+H68+J68+L68+N68</f>
        <v>0</v>
      </c>
      <c r="Q68" s="19"/>
      <c r="R68" s="19"/>
    </row>
    <row r="69" spans="1:20" s="165" customFormat="1" ht="15" customHeight="1">
      <c r="A69" s="163"/>
      <c r="B69" s="204" t="s">
        <v>123</v>
      </c>
      <c r="C69" s="164">
        <f aca="true" t="shared" si="13" ref="C69:P69">SUM(C67:C68)</f>
        <v>0</v>
      </c>
      <c r="D69" s="164">
        <f t="shared" si="13"/>
        <v>0</v>
      </c>
      <c r="E69" s="164">
        <f t="shared" si="13"/>
        <v>0</v>
      </c>
      <c r="F69" s="164">
        <f t="shared" si="13"/>
        <v>0</v>
      </c>
      <c r="G69" s="164">
        <f t="shared" si="13"/>
        <v>0</v>
      </c>
      <c r="H69" s="164">
        <f t="shared" si="13"/>
        <v>0</v>
      </c>
      <c r="I69" s="164">
        <f t="shared" si="13"/>
        <v>0</v>
      </c>
      <c r="J69" s="164">
        <f t="shared" si="13"/>
        <v>0</v>
      </c>
      <c r="K69" s="164">
        <f t="shared" si="13"/>
        <v>0</v>
      </c>
      <c r="L69" s="164">
        <f t="shared" si="13"/>
        <v>0</v>
      </c>
      <c r="M69" s="164">
        <f>SUM(M67:M68)</f>
        <v>0</v>
      </c>
      <c r="N69" s="164">
        <f>SUM(N67:N68)</f>
        <v>0</v>
      </c>
      <c r="O69" s="197">
        <f t="shared" si="13"/>
        <v>0</v>
      </c>
      <c r="P69" s="197">
        <f t="shared" si="13"/>
        <v>0</v>
      </c>
      <c r="Q69" s="209"/>
      <c r="R69" s="209"/>
      <c r="S69" s="232"/>
      <c r="T69" s="232"/>
    </row>
    <row r="70" spans="1:20" s="165" customFormat="1" ht="15" customHeight="1">
      <c r="A70" s="163"/>
      <c r="B70" s="204" t="s">
        <v>35</v>
      </c>
      <c r="C70" s="164">
        <f aca="true" t="shared" si="14" ref="C70:P70">C48+C65+C69</f>
        <v>176731</v>
      </c>
      <c r="D70" s="164">
        <f t="shared" si="14"/>
        <v>164296</v>
      </c>
      <c r="E70" s="164">
        <f t="shared" si="14"/>
        <v>32643</v>
      </c>
      <c r="F70" s="164">
        <f t="shared" si="14"/>
        <v>59932</v>
      </c>
      <c r="G70" s="164">
        <f t="shared" si="14"/>
        <v>14154</v>
      </c>
      <c r="H70" s="164">
        <f t="shared" si="14"/>
        <v>22661</v>
      </c>
      <c r="I70" s="164">
        <f t="shared" si="14"/>
        <v>663</v>
      </c>
      <c r="J70" s="164">
        <f t="shared" si="14"/>
        <v>474</v>
      </c>
      <c r="K70" s="164">
        <f t="shared" si="14"/>
        <v>6299</v>
      </c>
      <c r="L70" s="164">
        <f t="shared" si="14"/>
        <v>3236</v>
      </c>
      <c r="M70" s="164">
        <f t="shared" si="14"/>
        <v>62604</v>
      </c>
      <c r="N70" s="164">
        <f t="shared" si="14"/>
        <v>78985</v>
      </c>
      <c r="O70" s="197">
        <f t="shared" si="14"/>
        <v>293094</v>
      </c>
      <c r="P70" s="197">
        <f t="shared" si="14"/>
        <v>329584</v>
      </c>
      <c r="Q70" s="209"/>
      <c r="R70" s="209"/>
      <c r="S70" s="232"/>
      <c r="T70" s="232"/>
    </row>
    <row r="72" ht="12.75">
      <c r="P72" s="99" t="s">
        <v>36</v>
      </c>
    </row>
    <row r="73" ht="12.75">
      <c r="P73" s="99" t="s">
        <v>36</v>
      </c>
    </row>
    <row r="74" spans="4:5" ht="12.75">
      <c r="D74" s="24">
        <v>14</v>
      </c>
      <c r="E74" s="24" t="s">
        <v>409</v>
      </c>
    </row>
  </sheetData>
  <sheetProtection/>
  <mergeCells count="21">
    <mergeCell ref="K55:L55"/>
    <mergeCell ref="M55:N55"/>
    <mergeCell ref="O55:P55"/>
    <mergeCell ref="C55:D55"/>
    <mergeCell ref="E55:F55"/>
    <mergeCell ref="G55:H55"/>
    <mergeCell ref="I55:J55"/>
    <mergeCell ref="O4:P4"/>
    <mergeCell ref="I52:J52"/>
    <mergeCell ref="K52:L52"/>
    <mergeCell ref="K4:L4"/>
    <mergeCell ref="I4:J4"/>
    <mergeCell ref="M4:N4"/>
    <mergeCell ref="M52:N52"/>
    <mergeCell ref="O52:P52"/>
    <mergeCell ref="C4:D4"/>
    <mergeCell ref="C52:D52"/>
    <mergeCell ref="E52:F52"/>
    <mergeCell ref="G52:H52"/>
    <mergeCell ref="G4:H4"/>
    <mergeCell ref="E4:F4"/>
  </mergeCells>
  <printOptions gridLines="1" horizontalCentered="1"/>
  <pageMargins left="0.49" right="0.75" top="0.57" bottom="0.67" header="0.4" footer="0.5"/>
  <pageSetup blackAndWhite="1" horizontalDpi="600" verticalDpi="600" orientation="landscape" paperSize="9" scale="78" r:id="rId2"/>
  <rowBreaks count="1" manualBreakCount="1">
    <brk id="4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2"/>
  <sheetViews>
    <sheetView zoomScale="110" zoomScaleNormal="110" zoomScalePageLayoutView="0" workbookViewId="0" topLeftCell="N40">
      <selection activeCell="K54" sqref="K54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9.140625" style="6" customWidth="1"/>
    <col min="4" max="4" width="10.7109375" style="6" customWidth="1"/>
    <col min="5" max="5" width="9.57421875" style="6" customWidth="1"/>
    <col min="6" max="6" width="9.8515625" style="6" customWidth="1"/>
    <col min="7" max="7" width="9.421875" style="6" customWidth="1"/>
    <col min="8" max="8" width="10.7109375" style="6" customWidth="1"/>
    <col min="9" max="9" width="9.28125" style="6" customWidth="1"/>
    <col min="10" max="10" width="10.8515625" style="6" customWidth="1"/>
    <col min="11" max="11" width="10.57421875" style="6" customWidth="1"/>
    <col min="12" max="14" width="9.8515625" style="6" customWidth="1"/>
    <col min="15" max="15" width="9.7109375" style="99" customWidth="1"/>
    <col min="16" max="16" width="12.7109375" style="99" customWidth="1"/>
    <col min="17" max="17" width="0.2890625" style="0" hidden="1" customWidth="1"/>
    <col min="18" max="18" width="0" style="0" hidden="1" customWidth="1"/>
    <col min="19" max="19" width="10.7109375" style="0" customWidth="1"/>
    <col min="20" max="20" width="11.28125" style="0" customWidth="1"/>
  </cols>
  <sheetData>
    <row r="1" spans="1:16" ht="14.25">
      <c r="A1" s="27"/>
      <c r="B1" s="27"/>
      <c r="C1" s="96"/>
      <c r="D1" s="96"/>
      <c r="E1" s="96"/>
      <c r="F1" s="96"/>
      <c r="G1" s="96"/>
      <c r="H1" s="96"/>
      <c r="I1" s="78"/>
      <c r="J1" s="78"/>
      <c r="K1" s="78"/>
      <c r="L1" s="78"/>
      <c r="M1" s="78"/>
      <c r="N1" s="78"/>
      <c r="O1" s="191"/>
      <c r="P1" s="191"/>
    </row>
    <row r="2" spans="1:16" ht="18" customHeight="1">
      <c r="A2" s="31"/>
      <c r="B2" s="31"/>
      <c r="C2" s="78" t="s">
        <v>36</v>
      </c>
      <c r="D2" s="96" t="s">
        <v>36</v>
      </c>
      <c r="E2" s="96"/>
      <c r="F2" s="96"/>
      <c r="G2" s="96"/>
      <c r="H2" s="78"/>
      <c r="I2" s="78"/>
      <c r="J2" s="78"/>
      <c r="K2" s="78"/>
      <c r="L2" s="78"/>
      <c r="M2" s="78"/>
      <c r="N2" s="78"/>
      <c r="O2" s="250"/>
      <c r="P2" s="191"/>
    </row>
    <row r="3" spans="1:16" ht="18" customHeight="1">
      <c r="A3" s="31"/>
      <c r="B3" s="31"/>
      <c r="C3" s="63" t="s">
        <v>36</v>
      </c>
      <c r="D3" s="147" t="s">
        <v>83</v>
      </c>
      <c r="E3" s="85"/>
      <c r="F3" s="85"/>
      <c r="G3" s="85" t="s">
        <v>36</v>
      </c>
      <c r="H3" s="85" t="s">
        <v>36</v>
      </c>
      <c r="I3" s="85" t="s">
        <v>36</v>
      </c>
      <c r="J3" s="85" t="s">
        <v>36</v>
      </c>
      <c r="K3" s="85" t="s">
        <v>36</v>
      </c>
      <c r="L3" s="85"/>
      <c r="M3" s="85"/>
      <c r="N3" s="85"/>
      <c r="O3" s="270"/>
      <c r="P3" s="191"/>
    </row>
    <row r="4" spans="1:16" ht="15" customHeight="1">
      <c r="A4" s="27" t="s">
        <v>4</v>
      </c>
      <c r="B4" s="43" t="s">
        <v>5</v>
      </c>
      <c r="C4" s="663" t="s">
        <v>149</v>
      </c>
      <c r="D4" s="664"/>
      <c r="E4" s="663" t="s">
        <v>148</v>
      </c>
      <c r="F4" s="664"/>
      <c r="G4" s="663" t="s">
        <v>147</v>
      </c>
      <c r="H4" s="664"/>
      <c r="I4" s="663" t="s">
        <v>146</v>
      </c>
      <c r="J4" s="664"/>
      <c r="K4" s="663" t="s">
        <v>145</v>
      </c>
      <c r="L4" s="664"/>
      <c r="M4" s="663" t="s">
        <v>228</v>
      </c>
      <c r="N4" s="664"/>
      <c r="O4" s="253" t="s">
        <v>222</v>
      </c>
      <c r="P4" s="271"/>
    </row>
    <row r="5" spans="1:16" ht="12.75">
      <c r="A5" s="27" t="s">
        <v>6</v>
      </c>
      <c r="B5" s="44"/>
      <c r="C5" s="81" t="s">
        <v>57</v>
      </c>
      <c r="D5" s="81" t="s">
        <v>63</v>
      </c>
      <c r="E5" s="81" t="s">
        <v>57</v>
      </c>
      <c r="F5" s="81" t="s">
        <v>63</v>
      </c>
      <c r="G5" s="81" t="s">
        <v>57</v>
      </c>
      <c r="H5" s="81" t="s">
        <v>63</v>
      </c>
      <c r="I5" s="81" t="s">
        <v>57</v>
      </c>
      <c r="J5" s="81" t="s">
        <v>63</v>
      </c>
      <c r="K5" s="81" t="s">
        <v>57</v>
      </c>
      <c r="L5" s="81" t="s">
        <v>63</v>
      </c>
      <c r="M5" s="81" t="s">
        <v>57</v>
      </c>
      <c r="N5" s="81" t="s">
        <v>63</v>
      </c>
      <c r="O5" s="257" t="s">
        <v>57</v>
      </c>
      <c r="P5" s="257" t="s">
        <v>63</v>
      </c>
    </row>
    <row r="6" spans="1:20" s="103" customFormat="1" ht="12.75">
      <c r="A6" s="54">
        <v>1</v>
      </c>
      <c r="B6" s="57" t="s">
        <v>7</v>
      </c>
      <c r="C6" s="57">
        <v>544</v>
      </c>
      <c r="D6" s="57">
        <v>308</v>
      </c>
      <c r="E6" s="57">
        <v>155</v>
      </c>
      <c r="F6" s="57">
        <v>163</v>
      </c>
      <c r="G6" s="57">
        <v>52</v>
      </c>
      <c r="H6" s="57">
        <v>60</v>
      </c>
      <c r="I6" s="57">
        <v>0</v>
      </c>
      <c r="J6" s="57">
        <v>0</v>
      </c>
      <c r="K6" s="57">
        <v>7</v>
      </c>
      <c r="L6" s="57">
        <v>9</v>
      </c>
      <c r="M6" s="57">
        <v>86</v>
      </c>
      <c r="N6" s="57">
        <v>87</v>
      </c>
      <c r="O6" s="190">
        <f aca="true" t="shared" si="0" ref="O6:O24">C6+E6+G6+I6+K6+M6</f>
        <v>844</v>
      </c>
      <c r="P6" s="190">
        <f aca="true" t="shared" si="1" ref="P6:P24">D6+F6+H6+J6+L6+N6</f>
        <v>627</v>
      </c>
      <c r="Q6" s="22">
        <v>130</v>
      </c>
      <c r="R6" s="19">
        <v>11.01</v>
      </c>
      <c r="S6" s="19"/>
      <c r="T6" s="19"/>
    </row>
    <row r="7" spans="1:20" s="103" customFormat="1" ht="12.75">
      <c r="A7" s="54">
        <v>2</v>
      </c>
      <c r="B7" s="57" t="s">
        <v>8</v>
      </c>
      <c r="C7" s="57">
        <v>12</v>
      </c>
      <c r="D7" s="57">
        <v>7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190">
        <f t="shared" si="0"/>
        <v>12</v>
      </c>
      <c r="P7" s="190">
        <f t="shared" si="1"/>
        <v>7</v>
      </c>
      <c r="Q7" s="22">
        <v>0</v>
      </c>
      <c r="R7" s="19">
        <v>0</v>
      </c>
      <c r="S7" s="19"/>
      <c r="T7" s="19"/>
    </row>
    <row r="8" spans="1:20" s="103" customFormat="1" ht="12.75">
      <c r="A8" s="54">
        <v>3</v>
      </c>
      <c r="B8" s="57" t="s">
        <v>9</v>
      </c>
      <c r="C8" s="57">
        <v>188</v>
      </c>
      <c r="D8" s="57">
        <v>294</v>
      </c>
      <c r="E8" s="57">
        <v>31</v>
      </c>
      <c r="F8" s="57">
        <v>110</v>
      </c>
      <c r="G8" s="57">
        <v>36</v>
      </c>
      <c r="H8" s="57">
        <v>100</v>
      </c>
      <c r="I8" s="57">
        <v>0</v>
      </c>
      <c r="J8" s="57">
        <v>0</v>
      </c>
      <c r="K8" s="57">
        <v>0</v>
      </c>
      <c r="L8" s="57">
        <v>0</v>
      </c>
      <c r="M8" s="57">
        <v>137</v>
      </c>
      <c r="N8" s="57">
        <v>289</v>
      </c>
      <c r="O8" s="190">
        <f t="shared" si="0"/>
        <v>392</v>
      </c>
      <c r="P8" s="190">
        <f t="shared" si="1"/>
        <v>793</v>
      </c>
      <c r="Q8" s="22">
        <v>173</v>
      </c>
      <c r="R8" s="19">
        <v>278.5</v>
      </c>
      <c r="S8" s="19"/>
      <c r="T8" s="19"/>
    </row>
    <row r="9" spans="1:20" ht="12.75">
      <c r="A9" s="50">
        <v>4</v>
      </c>
      <c r="B9" s="51" t="s">
        <v>10</v>
      </c>
      <c r="C9" s="51">
        <v>526</v>
      </c>
      <c r="D9" s="51">
        <v>741</v>
      </c>
      <c r="E9" s="51">
        <v>54</v>
      </c>
      <c r="F9" s="51">
        <v>106</v>
      </c>
      <c r="G9" s="51">
        <v>31</v>
      </c>
      <c r="H9" s="51">
        <v>43</v>
      </c>
      <c r="I9" s="51">
        <v>0</v>
      </c>
      <c r="J9" s="51">
        <v>0</v>
      </c>
      <c r="K9" s="51">
        <v>0</v>
      </c>
      <c r="L9" s="51">
        <v>0</v>
      </c>
      <c r="M9" s="51">
        <v>221</v>
      </c>
      <c r="N9" s="51">
        <v>543</v>
      </c>
      <c r="O9" s="190">
        <f t="shared" si="0"/>
        <v>832</v>
      </c>
      <c r="P9" s="190">
        <f t="shared" si="1"/>
        <v>1433</v>
      </c>
      <c r="Q9" s="6">
        <v>359</v>
      </c>
      <c r="R9" s="7">
        <v>214</v>
      </c>
      <c r="S9" s="7"/>
      <c r="T9" s="7"/>
    </row>
    <row r="10" spans="1:20" ht="12.75">
      <c r="A10" s="50">
        <v>5</v>
      </c>
      <c r="B10" s="51" t="s">
        <v>11</v>
      </c>
      <c r="C10" s="51">
        <v>269</v>
      </c>
      <c r="D10" s="51">
        <v>340</v>
      </c>
      <c r="E10" s="51">
        <v>12</v>
      </c>
      <c r="F10" s="51">
        <v>21</v>
      </c>
      <c r="G10" s="51">
        <v>19</v>
      </c>
      <c r="H10" s="51">
        <v>23</v>
      </c>
      <c r="I10" s="51">
        <v>0</v>
      </c>
      <c r="J10" s="51">
        <v>0</v>
      </c>
      <c r="K10" s="51">
        <v>13</v>
      </c>
      <c r="L10" s="51">
        <v>2</v>
      </c>
      <c r="M10" s="51">
        <v>8</v>
      </c>
      <c r="N10" s="51">
        <v>27</v>
      </c>
      <c r="O10" s="190">
        <f t="shared" si="0"/>
        <v>321</v>
      </c>
      <c r="P10" s="190">
        <f t="shared" si="1"/>
        <v>413</v>
      </c>
      <c r="Q10" s="6">
        <v>65</v>
      </c>
      <c r="R10" s="7">
        <v>61.08</v>
      </c>
      <c r="S10" s="7"/>
      <c r="T10" s="7"/>
    </row>
    <row r="11" spans="1:20" ht="12.75">
      <c r="A11" s="50">
        <v>6</v>
      </c>
      <c r="B11" s="51" t="s">
        <v>12</v>
      </c>
      <c r="C11" s="51">
        <v>72</v>
      </c>
      <c r="D11" s="51">
        <v>98</v>
      </c>
      <c r="E11" s="51">
        <v>15</v>
      </c>
      <c r="F11" s="51">
        <v>19</v>
      </c>
      <c r="G11" s="51">
        <v>10</v>
      </c>
      <c r="H11" s="51">
        <v>7</v>
      </c>
      <c r="I11" s="51">
        <v>0</v>
      </c>
      <c r="J11" s="51">
        <v>0</v>
      </c>
      <c r="K11" s="51">
        <v>5</v>
      </c>
      <c r="L11" s="51">
        <v>20</v>
      </c>
      <c r="M11" s="51">
        <v>0</v>
      </c>
      <c r="N11" s="51">
        <v>0</v>
      </c>
      <c r="O11" s="190">
        <f t="shared" si="0"/>
        <v>102</v>
      </c>
      <c r="P11" s="190">
        <f t="shared" si="1"/>
        <v>144</v>
      </c>
      <c r="Q11" s="6">
        <v>0</v>
      </c>
      <c r="R11" s="7">
        <v>0</v>
      </c>
      <c r="S11" s="7"/>
      <c r="T11" s="7"/>
    </row>
    <row r="12" spans="1:20" s="103" customFormat="1" ht="12.75">
      <c r="A12" s="54">
        <v>7</v>
      </c>
      <c r="B12" s="57" t="s">
        <v>13</v>
      </c>
      <c r="C12" s="57">
        <v>1676</v>
      </c>
      <c r="D12" s="57">
        <v>1204</v>
      </c>
      <c r="E12" s="57">
        <v>241</v>
      </c>
      <c r="F12" s="57">
        <v>245</v>
      </c>
      <c r="G12" s="57">
        <v>364</v>
      </c>
      <c r="H12" s="57">
        <v>248</v>
      </c>
      <c r="I12" s="57">
        <v>2</v>
      </c>
      <c r="J12" s="57">
        <v>2</v>
      </c>
      <c r="K12" s="57">
        <v>13</v>
      </c>
      <c r="L12" s="57">
        <v>8</v>
      </c>
      <c r="M12" s="57">
        <v>1350</v>
      </c>
      <c r="N12" s="57">
        <v>1573</v>
      </c>
      <c r="O12" s="190">
        <f>C12+E12+G12+I12+K12+M12</f>
        <v>3646</v>
      </c>
      <c r="P12" s="190">
        <f t="shared" si="1"/>
        <v>3280</v>
      </c>
      <c r="Q12" s="22"/>
      <c r="R12" s="19"/>
      <c r="S12" s="19"/>
      <c r="T12" s="19"/>
    </row>
    <row r="13" spans="1:20" s="103" customFormat="1" ht="12.75">
      <c r="A13" s="54">
        <v>8</v>
      </c>
      <c r="B13" s="57" t="s">
        <v>162</v>
      </c>
      <c r="C13" s="57">
        <v>43</v>
      </c>
      <c r="D13" s="57">
        <v>43</v>
      </c>
      <c r="E13" s="57">
        <v>17</v>
      </c>
      <c r="F13" s="57">
        <v>21</v>
      </c>
      <c r="G13" s="57">
        <v>11</v>
      </c>
      <c r="H13" s="57">
        <v>5</v>
      </c>
      <c r="I13" s="57">
        <v>0</v>
      </c>
      <c r="J13" s="57">
        <v>0</v>
      </c>
      <c r="K13" s="57">
        <v>2</v>
      </c>
      <c r="L13" s="57">
        <v>5</v>
      </c>
      <c r="M13" s="57">
        <v>0</v>
      </c>
      <c r="N13" s="57">
        <v>0</v>
      </c>
      <c r="O13" s="190">
        <f t="shared" si="0"/>
        <v>73</v>
      </c>
      <c r="P13" s="190">
        <f t="shared" si="1"/>
        <v>74</v>
      </c>
      <c r="Q13" s="22"/>
      <c r="R13" s="19"/>
      <c r="S13" s="19"/>
      <c r="T13" s="19"/>
    </row>
    <row r="14" spans="1:20" ht="12.75">
      <c r="A14" s="50">
        <v>9</v>
      </c>
      <c r="B14" s="51" t="s">
        <v>14</v>
      </c>
      <c r="C14" s="51">
        <v>108</v>
      </c>
      <c r="D14" s="51">
        <v>120</v>
      </c>
      <c r="E14" s="51">
        <v>8</v>
      </c>
      <c r="F14" s="51">
        <v>26</v>
      </c>
      <c r="G14" s="51">
        <v>3</v>
      </c>
      <c r="H14" s="51">
        <v>10</v>
      </c>
      <c r="I14" s="51">
        <v>0</v>
      </c>
      <c r="J14" s="51">
        <v>0</v>
      </c>
      <c r="K14" s="51">
        <v>0</v>
      </c>
      <c r="L14" s="51">
        <v>0</v>
      </c>
      <c r="M14" s="51">
        <v>57</v>
      </c>
      <c r="N14" s="51">
        <v>68</v>
      </c>
      <c r="O14" s="190">
        <f t="shared" si="0"/>
        <v>176</v>
      </c>
      <c r="P14" s="190">
        <f t="shared" si="1"/>
        <v>224</v>
      </c>
      <c r="Q14" s="6"/>
      <c r="R14" s="7"/>
      <c r="S14" s="7"/>
      <c r="T14" s="7"/>
    </row>
    <row r="15" spans="1:20" ht="12.75">
      <c r="A15" s="50">
        <v>10</v>
      </c>
      <c r="B15" s="51" t="s">
        <v>15</v>
      </c>
      <c r="C15" s="51">
        <v>49</v>
      </c>
      <c r="D15" s="51">
        <v>46</v>
      </c>
      <c r="E15" s="51">
        <v>19</v>
      </c>
      <c r="F15" s="51">
        <v>46</v>
      </c>
      <c r="G15" s="51">
        <v>10</v>
      </c>
      <c r="H15" s="51">
        <v>12</v>
      </c>
      <c r="I15" s="51">
        <v>0</v>
      </c>
      <c r="J15" s="51">
        <v>0</v>
      </c>
      <c r="K15" s="51">
        <v>0</v>
      </c>
      <c r="L15" s="51">
        <v>0</v>
      </c>
      <c r="M15" s="51">
        <v>43</v>
      </c>
      <c r="N15" s="51">
        <v>186</v>
      </c>
      <c r="O15" s="190">
        <f t="shared" si="0"/>
        <v>121</v>
      </c>
      <c r="P15" s="190">
        <f t="shared" si="1"/>
        <v>290</v>
      </c>
      <c r="Q15" s="6"/>
      <c r="R15" s="7"/>
      <c r="S15" s="7"/>
      <c r="T15" s="7"/>
    </row>
    <row r="16" spans="1:20" ht="12.75">
      <c r="A16" s="50">
        <v>11</v>
      </c>
      <c r="B16" s="51" t="s">
        <v>16</v>
      </c>
      <c r="C16" s="51">
        <v>29</v>
      </c>
      <c r="D16" s="51">
        <v>6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190">
        <f t="shared" si="0"/>
        <v>29</v>
      </c>
      <c r="P16" s="190">
        <f t="shared" si="1"/>
        <v>6</v>
      </c>
      <c r="Q16" s="6">
        <v>17</v>
      </c>
      <c r="R16" s="7">
        <v>33.56</v>
      </c>
      <c r="S16" s="7"/>
      <c r="T16" s="7"/>
    </row>
    <row r="17" spans="1:20" ht="12.75">
      <c r="A17" s="50">
        <v>12</v>
      </c>
      <c r="B17" s="51" t="s">
        <v>17</v>
      </c>
      <c r="C17" s="51">
        <v>167</v>
      </c>
      <c r="D17" s="51">
        <v>263</v>
      </c>
      <c r="E17" s="51">
        <v>36</v>
      </c>
      <c r="F17" s="51">
        <v>103</v>
      </c>
      <c r="G17" s="51">
        <v>15</v>
      </c>
      <c r="H17" s="51">
        <v>69</v>
      </c>
      <c r="I17" s="51">
        <v>0</v>
      </c>
      <c r="J17" s="51">
        <v>0</v>
      </c>
      <c r="K17" s="51">
        <v>15</v>
      </c>
      <c r="L17" s="51">
        <v>9</v>
      </c>
      <c r="M17" s="51">
        <v>82</v>
      </c>
      <c r="N17" s="51">
        <v>382</v>
      </c>
      <c r="O17" s="190">
        <f t="shared" si="0"/>
        <v>315</v>
      </c>
      <c r="P17" s="190">
        <f t="shared" si="1"/>
        <v>826</v>
      </c>
      <c r="Q17" s="6"/>
      <c r="R17" s="7"/>
      <c r="S17" s="7"/>
      <c r="T17" s="7"/>
    </row>
    <row r="18" spans="1:20" ht="12.75">
      <c r="A18" s="50">
        <v>13</v>
      </c>
      <c r="B18" s="51" t="s">
        <v>164</v>
      </c>
      <c r="C18" s="51">
        <v>140</v>
      </c>
      <c r="D18" s="51">
        <v>165</v>
      </c>
      <c r="E18" s="51">
        <v>340</v>
      </c>
      <c r="F18" s="51">
        <v>690</v>
      </c>
      <c r="G18" s="51">
        <v>15</v>
      </c>
      <c r="H18" s="51">
        <v>18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90">
        <f t="shared" si="0"/>
        <v>495</v>
      </c>
      <c r="P18" s="190">
        <f t="shared" si="1"/>
        <v>873</v>
      </c>
      <c r="Q18" s="6"/>
      <c r="R18" s="7"/>
      <c r="S18" s="7"/>
      <c r="T18" s="7"/>
    </row>
    <row r="19" spans="1:20" ht="12.75">
      <c r="A19" s="50">
        <v>14</v>
      </c>
      <c r="B19" s="51" t="s">
        <v>77</v>
      </c>
      <c r="C19" s="51">
        <v>201</v>
      </c>
      <c r="D19" s="51">
        <v>305</v>
      </c>
      <c r="E19" s="51">
        <v>40</v>
      </c>
      <c r="F19" s="51">
        <v>302</v>
      </c>
      <c r="G19" s="51">
        <v>11</v>
      </c>
      <c r="H19" s="51">
        <v>18</v>
      </c>
      <c r="I19" s="51">
        <v>0</v>
      </c>
      <c r="J19" s="51">
        <v>0</v>
      </c>
      <c r="K19" s="51">
        <v>0</v>
      </c>
      <c r="L19" s="51">
        <v>0</v>
      </c>
      <c r="M19" s="51">
        <v>301</v>
      </c>
      <c r="N19" s="51">
        <v>398</v>
      </c>
      <c r="O19" s="190">
        <f t="shared" si="0"/>
        <v>553</v>
      </c>
      <c r="P19" s="190">
        <f t="shared" si="1"/>
        <v>1023</v>
      </c>
      <c r="Q19" s="6">
        <v>28</v>
      </c>
      <c r="R19" s="7">
        <v>21.75</v>
      </c>
      <c r="S19" s="7"/>
      <c r="T19" s="7"/>
    </row>
    <row r="20" spans="1:20" ht="12.75">
      <c r="A20" s="50">
        <v>15</v>
      </c>
      <c r="B20" s="51" t="s">
        <v>105</v>
      </c>
      <c r="C20" s="51">
        <v>133</v>
      </c>
      <c r="D20" s="51">
        <v>113</v>
      </c>
      <c r="E20" s="51">
        <v>17</v>
      </c>
      <c r="F20" s="51">
        <v>40</v>
      </c>
      <c r="G20" s="51">
        <v>25</v>
      </c>
      <c r="H20" s="51">
        <v>16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90">
        <f t="shared" si="0"/>
        <v>175</v>
      </c>
      <c r="P20" s="190">
        <f t="shared" si="1"/>
        <v>169</v>
      </c>
      <c r="Q20" s="6">
        <v>0</v>
      </c>
      <c r="R20" s="7">
        <v>0</v>
      </c>
      <c r="S20" s="7"/>
      <c r="T20" s="7"/>
    </row>
    <row r="21" spans="1:20" s="103" customFormat="1" ht="12.75">
      <c r="A21" s="54">
        <v>16</v>
      </c>
      <c r="B21" s="57" t="s">
        <v>20</v>
      </c>
      <c r="C21" s="57">
        <v>89</v>
      </c>
      <c r="D21" s="57">
        <v>66</v>
      </c>
      <c r="E21" s="57">
        <v>26</v>
      </c>
      <c r="F21" s="57">
        <v>21</v>
      </c>
      <c r="G21" s="57">
        <v>57</v>
      </c>
      <c r="H21" s="57">
        <v>51</v>
      </c>
      <c r="I21" s="57">
        <v>0</v>
      </c>
      <c r="J21" s="57">
        <v>0</v>
      </c>
      <c r="K21" s="57">
        <v>0</v>
      </c>
      <c r="L21" s="57">
        <v>0</v>
      </c>
      <c r="M21" s="57">
        <v>91</v>
      </c>
      <c r="N21" s="57">
        <v>85</v>
      </c>
      <c r="O21" s="190">
        <f t="shared" si="0"/>
        <v>263</v>
      </c>
      <c r="P21" s="190">
        <f t="shared" si="1"/>
        <v>223</v>
      </c>
      <c r="Q21" s="22">
        <v>6</v>
      </c>
      <c r="R21" s="19">
        <v>3.89</v>
      </c>
      <c r="S21" s="19"/>
      <c r="T21" s="19"/>
    </row>
    <row r="22" spans="1:20" ht="12.75">
      <c r="A22" s="50">
        <v>17</v>
      </c>
      <c r="B22" s="51" t="s">
        <v>21</v>
      </c>
      <c r="C22" s="51">
        <v>209</v>
      </c>
      <c r="D22" s="51">
        <v>239</v>
      </c>
      <c r="E22" s="51">
        <v>58</v>
      </c>
      <c r="F22" s="51">
        <v>53</v>
      </c>
      <c r="G22" s="51">
        <v>60</v>
      </c>
      <c r="H22" s="51">
        <v>48</v>
      </c>
      <c r="I22" s="51">
        <v>4</v>
      </c>
      <c r="J22" s="51">
        <v>4</v>
      </c>
      <c r="K22" s="51">
        <v>11</v>
      </c>
      <c r="L22" s="51">
        <v>27</v>
      </c>
      <c r="M22" s="51">
        <v>288</v>
      </c>
      <c r="N22" s="51">
        <v>466</v>
      </c>
      <c r="O22" s="190">
        <f t="shared" si="0"/>
        <v>630</v>
      </c>
      <c r="P22" s="190">
        <f t="shared" si="1"/>
        <v>837</v>
      </c>
      <c r="Q22" s="6">
        <v>60</v>
      </c>
      <c r="R22" s="7">
        <v>106.85</v>
      </c>
      <c r="S22" s="7"/>
      <c r="T22" s="7"/>
    </row>
    <row r="23" spans="1:20" ht="12.75">
      <c r="A23" s="50">
        <v>18</v>
      </c>
      <c r="B23" s="51" t="s">
        <v>19</v>
      </c>
      <c r="C23" s="51">
        <v>3</v>
      </c>
      <c r="D23" s="51">
        <v>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33</v>
      </c>
      <c r="N23" s="51">
        <v>89</v>
      </c>
      <c r="O23" s="190">
        <f t="shared" si="0"/>
        <v>36</v>
      </c>
      <c r="P23" s="190">
        <f t="shared" si="1"/>
        <v>90</v>
      </c>
      <c r="Q23" s="6">
        <v>2</v>
      </c>
      <c r="R23" s="7">
        <v>2.63</v>
      </c>
      <c r="S23" s="7"/>
      <c r="T23" s="7"/>
    </row>
    <row r="24" spans="1:20" ht="12.75">
      <c r="A24" s="50">
        <v>19</v>
      </c>
      <c r="B24" s="51" t="s">
        <v>124</v>
      </c>
      <c r="C24" s="51">
        <v>23</v>
      </c>
      <c r="D24" s="51">
        <v>58</v>
      </c>
      <c r="E24" s="51">
        <v>1</v>
      </c>
      <c r="F24" s="51">
        <v>5</v>
      </c>
      <c r="G24" s="51">
        <v>3</v>
      </c>
      <c r="H24" s="51">
        <v>21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190">
        <f t="shared" si="0"/>
        <v>27</v>
      </c>
      <c r="P24" s="190">
        <f t="shared" si="1"/>
        <v>84</v>
      </c>
      <c r="Q24" s="6">
        <v>731</v>
      </c>
      <c r="R24" s="7">
        <v>500.22</v>
      </c>
      <c r="S24" s="7"/>
      <c r="T24" s="7"/>
    </row>
    <row r="25" spans="1:20" s="165" customFormat="1" ht="14.25">
      <c r="A25" s="163"/>
      <c r="B25" s="128" t="s">
        <v>224</v>
      </c>
      <c r="C25" s="128">
        <f aca="true" t="shared" si="2" ref="C25:L25">SUM(C6:C24)</f>
        <v>4481</v>
      </c>
      <c r="D25" s="128">
        <f t="shared" si="2"/>
        <v>4417</v>
      </c>
      <c r="E25" s="128">
        <f t="shared" si="2"/>
        <v>1070</v>
      </c>
      <c r="F25" s="128">
        <f t="shared" si="2"/>
        <v>1971</v>
      </c>
      <c r="G25" s="128">
        <f t="shared" si="2"/>
        <v>722</v>
      </c>
      <c r="H25" s="128">
        <f t="shared" si="2"/>
        <v>749</v>
      </c>
      <c r="I25" s="128">
        <f t="shared" si="2"/>
        <v>6</v>
      </c>
      <c r="J25" s="128">
        <f t="shared" si="2"/>
        <v>6</v>
      </c>
      <c r="K25" s="128">
        <f t="shared" si="2"/>
        <v>66</v>
      </c>
      <c r="L25" s="128">
        <f t="shared" si="2"/>
        <v>80</v>
      </c>
      <c r="M25" s="128">
        <f>SUM(M6:M24)</f>
        <v>2697</v>
      </c>
      <c r="N25" s="128">
        <f>SUM(N6:N24)</f>
        <v>4193</v>
      </c>
      <c r="O25" s="197">
        <f aca="true" t="shared" si="3" ref="O25:O33">C25+E25+G25+I25+K25+M25</f>
        <v>9042</v>
      </c>
      <c r="P25" s="197">
        <f aca="true" t="shared" si="4" ref="P25:P33">D25+F25+H25+J25+L25+N25</f>
        <v>11416</v>
      </c>
      <c r="Q25" s="167"/>
      <c r="R25" s="166"/>
      <c r="S25" s="166"/>
      <c r="T25" s="166"/>
    </row>
    <row r="26" spans="1:20" ht="12.75">
      <c r="A26" s="54">
        <v>20</v>
      </c>
      <c r="B26" s="51" t="s">
        <v>23</v>
      </c>
      <c r="C26" s="51">
        <v>7</v>
      </c>
      <c r="D26" s="51">
        <v>25</v>
      </c>
      <c r="E26" s="51">
        <v>0</v>
      </c>
      <c r="F26" s="51">
        <v>0</v>
      </c>
      <c r="G26" s="51">
        <v>1</v>
      </c>
      <c r="H26" s="51">
        <v>5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190">
        <f t="shared" si="3"/>
        <v>8</v>
      </c>
      <c r="P26" s="190">
        <f t="shared" si="4"/>
        <v>30</v>
      </c>
      <c r="Q26" s="6">
        <v>0</v>
      </c>
      <c r="R26" s="7">
        <v>0</v>
      </c>
      <c r="S26" s="7"/>
      <c r="T26" s="7"/>
    </row>
    <row r="27" spans="1:20" ht="12.75">
      <c r="A27" s="54">
        <v>21</v>
      </c>
      <c r="B27" s="51" t="s">
        <v>269</v>
      </c>
      <c r="C27" s="51">
        <v>0</v>
      </c>
      <c r="D27" s="51">
        <v>0</v>
      </c>
      <c r="E27" s="51">
        <v>1</v>
      </c>
      <c r="F27" s="51">
        <v>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3</v>
      </c>
      <c r="N27" s="51">
        <v>14</v>
      </c>
      <c r="O27" s="190">
        <f t="shared" si="3"/>
        <v>4</v>
      </c>
      <c r="P27" s="190">
        <f t="shared" si="4"/>
        <v>15</v>
      </c>
      <c r="Q27" s="6">
        <v>2</v>
      </c>
      <c r="R27" s="7">
        <v>2.87</v>
      </c>
      <c r="S27" s="7"/>
      <c r="T27" s="7"/>
    </row>
    <row r="28" spans="1:20" ht="12.75">
      <c r="A28" s="54">
        <v>22</v>
      </c>
      <c r="B28" s="51" t="s">
        <v>169</v>
      </c>
      <c r="C28" s="51">
        <v>23</v>
      </c>
      <c r="D28" s="51">
        <v>104</v>
      </c>
      <c r="E28" s="51">
        <v>9</v>
      </c>
      <c r="F28" s="51">
        <v>39</v>
      </c>
      <c r="G28" s="51">
        <v>1</v>
      </c>
      <c r="H28" s="51">
        <v>3</v>
      </c>
      <c r="I28" s="51">
        <v>0</v>
      </c>
      <c r="J28" s="51">
        <v>0</v>
      </c>
      <c r="K28" s="51">
        <v>0</v>
      </c>
      <c r="L28" s="51">
        <v>2</v>
      </c>
      <c r="M28" s="51">
        <v>2</v>
      </c>
      <c r="N28" s="51">
        <v>7</v>
      </c>
      <c r="O28" s="190">
        <f t="shared" si="3"/>
        <v>35</v>
      </c>
      <c r="P28" s="190">
        <f t="shared" si="4"/>
        <v>155</v>
      </c>
      <c r="Q28" s="6"/>
      <c r="R28" s="7"/>
      <c r="S28" s="7"/>
      <c r="T28" s="7"/>
    </row>
    <row r="29" spans="1:20" ht="12.75">
      <c r="A29" s="54">
        <v>23</v>
      </c>
      <c r="B29" s="51" t="s">
        <v>22</v>
      </c>
      <c r="C29" s="51">
        <v>2</v>
      </c>
      <c r="D29" s="51">
        <v>8</v>
      </c>
      <c r="E29" s="51">
        <v>3</v>
      </c>
      <c r="F29" s="51">
        <v>45</v>
      </c>
      <c r="G29" s="51">
        <v>5</v>
      </c>
      <c r="H29" s="51">
        <v>44</v>
      </c>
      <c r="I29" s="51">
        <v>0</v>
      </c>
      <c r="J29" s="51">
        <v>0</v>
      </c>
      <c r="K29" s="51">
        <v>0</v>
      </c>
      <c r="L29" s="51">
        <v>0</v>
      </c>
      <c r="M29" s="51">
        <v>1</v>
      </c>
      <c r="N29" s="51">
        <v>20</v>
      </c>
      <c r="O29" s="190">
        <f t="shared" si="3"/>
        <v>11</v>
      </c>
      <c r="P29" s="190">
        <f t="shared" si="4"/>
        <v>117</v>
      </c>
      <c r="Q29" s="6">
        <v>0</v>
      </c>
      <c r="R29" s="7">
        <v>0</v>
      </c>
      <c r="S29" s="7"/>
      <c r="T29" s="7"/>
    </row>
    <row r="30" spans="1:20" s="103" customFormat="1" ht="12.75">
      <c r="A30" s="54">
        <v>24</v>
      </c>
      <c r="B30" s="57" t="s">
        <v>141</v>
      </c>
      <c r="C30" s="57">
        <v>11</v>
      </c>
      <c r="D30" s="57">
        <v>31</v>
      </c>
      <c r="E30" s="57">
        <v>2</v>
      </c>
      <c r="F30" s="57">
        <v>5</v>
      </c>
      <c r="G30" s="57">
        <v>4</v>
      </c>
      <c r="H30" s="57">
        <v>31</v>
      </c>
      <c r="I30" s="57">
        <v>0</v>
      </c>
      <c r="J30" s="57">
        <v>0</v>
      </c>
      <c r="K30" s="57">
        <v>0</v>
      </c>
      <c r="L30" s="57">
        <v>0</v>
      </c>
      <c r="M30" s="57">
        <v>27</v>
      </c>
      <c r="N30" s="57">
        <v>295</v>
      </c>
      <c r="O30" s="190">
        <f t="shared" si="3"/>
        <v>44</v>
      </c>
      <c r="P30" s="190">
        <f t="shared" si="4"/>
        <v>362</v>
      </c>
      <c r="Q30" s="22">
        <v>0</v>
      </c>
      <c r="R30" s="19">
        <v>0</v>
      </c>
      <c r="S30" s="19"/>
      <c r="T30" s="19"/>
    </row>
    <row r="31" spans="1:20" ht="12.75">
      <c r="A31" s="54">
        <v>25</v>
      </c>
      <c r="B31" s="51" t="s">
        <v>18</v>
      </c>
      <c r="C31" s="51">
        <v>610</v>
      </c>
      <c r="D31" s="51">
        <v>1426</v>
      </c>
      <c r="E31" s="51">
        <v>114</v>
      </c>
      <c r="F31" s="51">
        <v>180</v>
      </c>
      <c r="G31" s="51">
        <v>26</v>
      </c>
      <c r="H31" s="51">
        <v>79</v>
      </c>
      <c r="I31" s="51">
        <v>4</v>
      </c>
      <c r="J31" s="51">
        <v>19</v>
      </c>
      <c r="K31" s="51">
        <v>11</v>
      </c>
      <c r="L31" s="51">
        <v>34</v>
      </c>
      <c r="M31" s="51">
        <v>357</v>
      </c>
      <c r="N31" s="51">
        <v>865</v>
      </c>
      <c r="O31" s="190">
        <f t="shared" si="3"/>
        <v>1122</v>
      </c>
      <c r="P31" s="190">
        <f t="shared" si="4"/>
        <v>2603</v>
      </c>
      <c r="Q31" s="6">
        <v>516</v>
      </c>
      <c r="R31" s="7">
        <v>2015</v>
      </c>
      <c r="S31" s="7"/>
      <c r="T31" s="7"/>
    </row>
    <row r="32" spans="1:20" ht="12.75">
      <c r="A32" s="54">
        <v>26</v>
      </c>
      <c r="B32" s="51" t="s">
        <v>104</v>
      </c>
      <c r="C32" s="51">
        <v>394</v>
      </c>
      <c r="D32" s="51">
        <v>3152</v>
      </c>
      <c r="E32" s="51">
        <v>148</v>
      </c>
      <c r="F32" s="51">
        <v>767</v>
      </c>
      <c r="G32" s="51">
        <v>21</v>
      </c>
      <c r="H32" s="51">
        <v>109</v>
      </c>
      <c r="I32" s="51">
        <v>9</v>
      </c>
      <c r="J32" s="51">
        <v>45</v>
      </c>
      <c r="K32" s="51">
        <v>2</v>
      </c>
      <c r="L32" s="51">
        <v>14</v>
      </c>
      <c r="M32" s="51">
        <v>0</v>
      </c>
      <c r="N32" s="51">
        <v>0</v>
      </c>
      <c r="O32" s="190">
        <f t="shared" si="3"/>
        <v>574</v>
      </c>
      <c r="P32" s="190">
        <f t="shared" si="4"/>
        <v>4087</v>
      </c>
      <c r="Q32" s="6">
        <v>0</v>
      </c>
      <c r="R32" s="7">
        <v>0</v>
      </c>
      <c r="S32" s="7"/>
      <c r="T32" s="7"/>
    </row>
    <row r="33" spans="1:20" s="165" customFormat="1" ht="14.25">
      <c r="A33" s="163"/>
      <c r="B33" s="128" t="s">
        <v>226</v>
      </c>
      <c r="C33" s="128">
        <f aca="true" t="shared" si="5" ref="C33:L33">SUM(C26:C32)</f>
        <v>1047</v>
      </c>
      <c r="D33" s="128">
        <f t="shared" si="5"/>
        <v>4746</v>
      </c>
      <c r="E33" s="128">
        <f t="shared" si="5"/>
        <v>277</v>
      </c>
      <c r="F33" s="128">
        <f t="shared" si="5"/>
        <v>1037</v>
      </c>
      <c r="G33" s="128">
        <f t="shared" si="5"/>
        <v>58</v>
      </c>
      <c r="H33" s="128">
        <f t="shared" si="5"/>
        <v>271</v>
      </c>
      <c r="I33" s="128">
        <f t="shared" si="5"/>
        <v>13</v>
      </c>
      <c r="J33" s="128">
        <f t="shared" si="5"/>
        <v>64</v>
      </c>
      <c r="K33" s="128">
        <f t="shared" si="5"/>
        <v>13</v>
      </c>
      <c r="L33" s="128">
        <f t="shared" si="5"/>
        <v>50</v>
      </c>
      <c r="M33" s="128">
        <f>SUM(M26:M32)</f>
        <v>390</v>
      </c>
      <c r="N33" s="128">
        <f>SUM(N26:N32)</f>
        <v>1201</v>
      </c>
      <c r="O33" s="197">
        <f t="shared" si="3"/>
        <v>1798</v>
      </c>
      <c r="P33" s="197">
        <f t="shared" si="4"/>
        <v>7369</v>
      </c>
      <c r="Q33" s="167"/>
      <c r="R33" s="166"/>
      <c r="S33" s="166"/>
      <c r="T33" s="166"/>
    </row>
    <row r="34" spans="1:20" ht="12.75">
      <c r="A34" s="54">
        <v>27</v>
      </c>
      <c r="B34" s="51" t="s">
        <v>163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190">
        <f aca="true" t="shared" si="6" ref="O34:O46">C34+E34+G34+I34+K34+M34</f>
        <v>0</v>
      </c>
      <c r="P34" s="190">
        <f aca="true" t="shared" si="7" ref="P34:P46">D34+F34+H34+J34+L34+N34</f>
        <v>0</v>
      </c>
      <c r="Q34" s="6">
        <v>28</v>
      </c>
      <c r="R34" s="7">
        <v>13.63</v>
      </c>
      <c r="S34" s="7"/>
      <c r="T34" s="7"/>
    </row>
    <row r="35" spans="1:20" s="103" customFormat="1" ht="12.75">
      <c r="A35" s="54">
        <v>28</v>
      </c>
      <c r="B35" s="57" t="s">
        <v>231</v>
      </c>
      <c r="C35" s="57">
        <v>32</v>
      </c>
      <c r="D35" s="57">
        <v>161</v>
      </c>
      <c r="E35" s="57">
        <v>11</v>
      </c>
      <c r="F35" s="57">
        <v>63</v>
      </c>
      <c r="G35" s="57">
        <v>2</v>
      </c>
      <c r="H35" s="57">
        <v>9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190">
        <f t="shared" si="6"/>
        <v>45</v>
      </c>
      <c r="P35" s="190">
        <f t="shared" si="7"/>
        <v>233</v>
      </c>
      <c r="Q35" s="22">
        <v>0</v>
      </c>
      <c r="R35" s="19">
        <v>0</v>
      </c>
      <c r="S35" s="19"/>
      <c r="T35" s="19"/>
    </row>
    <row r="36" spans="1:20" ht="12.75">
      <c r="A36" s="54">
        <v>29</v>
      </c>
      <c r="B36" s="51" t="s">
        <v>218</v>
      </c>
      <c r="C36" s="51">
        <v>4</v>
      </c>
      <c r="D36" s="51">
        <v>4</v>
      </c>
      <c r="E36" s="51">
        <v>9</v>
      </c>
      <c r="F36" s="51">
        <v>36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190">
        <f t="shared" si="6"/>
        <v>13</v>
      </c>
      <c r="P36" s="190">
        <f t="shared" si="7"/>
        <v>40</v>
      </c>
      <c r="Q36" s="6">
        <v>0</v>
      </c>
      <c r="R36" s="7">
        <v>0</v>
      </c>
      <c r="S36" s="7"/>
      <c r="T36" s="7"/>
    </row>
    <row r="37" spans="1:20" ht="12.75">
      <c r="A37" s="54">
        <v>30</v>
      </c>
      <c r="B37" s="51" t="s">
        <v>236</v>
      </c>
      <c r="C37" s="51">
        <v>14</v>
      </c>
      <c r="D37" s="51">
        <v>3</v>
      </c>
      <c r="E37" s="51">
        <v>5</v>
      </c>
      <c r="F37" s="51">
        <v>9</v>
      </c>
      <c r="G37" s="51">
        <v>2</v>
      </c>
      <c r="H37" s="51">
        <v>2</v>
      </c>
      <c r="I37" s="51">
        <v>0</v>
      </c>
      <c r="J37" s="51">
        <v>0</v>
      </c>
      <c r="K37" s="51">
        <v>0</v>
      </c>
      <c r="L37" s="51">
        <v>0</v>
      </c>
      <c r="M37" s="51">
        <v>19</v>
      </c>
      <c r="N37" s="51">
        <v>25</v>
      </c>
      <c r="O37" s="190">
        <f t="shared" si="6"/>
        <v>40</v>
      </c>
      <c r="P37" s="190">
        <f t="shared" si="7"/>
        <v>39</v>
      </c>
      <c r="Q37" s="6"/>
      <c r="R37" s="7"/>
      <c r="S37" s="7"/>
      <c r="T37" s="7"/>
    </row>
    <row r="38" spans="1:20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190">
        <f t="shared" si="6"/>
        <v>0</v>
      </c>
      <c r="P38" s="190">
        <f t="shared" si="7"/>
        <v>0</v>
      </c>
      <c r="Q38" s="22"/>
      <c r="R38" s="19"/>
      <c r="S38" s="19"/>
      <c r="T38" s="19"/>
    </row>
    <row r="39" spans="1:20" ht="12.75">
      <c r="A39" s="54">
        <v>32</v>
      </c>
      <c r="B39" s="51" t="s">
        <v>220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190">
        <f t="shared" si="6"/>
        <v>0</v>
      </c>
      <c r="P39" s="190">
        <f t="shared" si="7"/>
        <v>0</v>
      </c>
      <c r="Q39" s="6"/>
      <c r="R39" s="7"/>
      <c r="S39" s="7"/>
      <c r="T39" s="7"/>
    </row>
    <row r="40" spans="1:20" ht="12.75">
      <c r="A40" s="110">
        <v>33</v>
      </c>
      <c r="B40" s="113" t="s">
        <v>363</v>
      </c>
      <c r="C40" s="51">
        <v>23</v>
      </c>
      <c r="D40" s="51">
        <v>14</v>
      </c>
      <c r="E40" s="51">
        <v>11</v>
      </c>
      <c r="F40" s="51">
        <v>253</v>
      </c>
      <c r="G40" s="51">
        <v>9</v>
      </c>
      <c r="H40" s="51">
        <v>11</v>
      </c>
      <c r="I40" s="51">
        <v>0</v>
      </c>
      <c r="J40" s="51">
        <v>0</v>
      </c>
      <c r="K40" s="51">
        <v>0</v>
      </c>
      <c r="L40" s="51">
        <v>0</v>
      </c>
      <c r="M40" s="51">
        <v>4</v>
      </c>
      <c r="N40" s="51">
        <v>4</v>
      </c>
      <c r="O40" s="190">
        <f t="shared" si="6"/>
        <v>47</v>
      </c>
      <c r="P40" s="190">
        <f t="shared" si="7"/>
        <v>282</v>
      </c>
      <c r="Q40" s="6"/>
      <c r="R40" s="7"/>
      <c r="S40" s="7"/>
      <c r="T40" s="7"/>
    </row>
    <row r="41" spans="1:20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190">
        <f t="shared" si="6"/>
        <v>0</v>
      </c>
      <c r="P41" s="190">
        <f t="shared" si="7"/>
        <v>0</v>
      </c>
      <c r="Q41" s="22"/>
      <c r="R41" s="19"/>
      <c r="S41" s="19"/>
      <c r="T41" s="19"/>
    </row>
    <row r="42" spans="1:20" ht="12.75">
      <c r="A42" s="54">
        <v>35</v>
      </c>
      <c r="B42" s="51" t="s">
        <v>256</v>
      </c>
      <c r="C42" s="51">
        <v>42</v>
      </c>
      <c r="D42" s="51">
        <v>36</v>
      </c>
      <c r="E42" s="51">
        <v>8</v>
      </c>
      <c r="F42" s="51">
        <v>12</v>
      </c>
      <c r="G42" s="51">
        <v>123</v>
      </c>
      <c r="H42" s="51">
        <v>210</v>
      </c>
      <c r="I42" s="51">
        <v>0</v>
      </c>
      <c r="J42" s="51">
        <v>0</v>
      </c>
      <c r="K42" s="51">
        <v>0</v>
      </c>
      <c r="L42" s="51">
        <v>0</v>
      </c>
      <c r="M42" s="51">
        <v>12</v>
      </c>
      <c r="N42" s="51">
        <v>2</v>
      </c>
      <c r="O42" s="190">
        <f t="shared" si="6"/>
        <v>185</v>
      </c>
      <c r="P42" s="190">
        <f t="shared" si="7"/>
        <v>260</v>
      </c>
      <c r="Q42" s="6">
        <v>62</v>
      </c>
      <c r="R42" s="7">
        <v>23.6</v>
      </c>
      <c r="S42" s="7"/>
      <c r="T42" s="7"/>
    </row>
    <row r="43" spans="1:20" ht="12.75">
      <c r="A43" s="54">
        <v>36</v>
      </c>
      <c r="B43" s="51" t="s">
        <v>24</v>
      </c>
      <c r="C43" s="51">
        <v>19</v>
      </c>
      <c r="D43" s="51">
        <v>125</v>
      </c>
      <c r="E43" s="51">
        <v>2</v>
      </c>
      <c r="F43" s="51">
        <v>12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4</v>
      </c>
      <c r="N43" s="51">
        <v>78</v>
      </c>
      <c r="O43" s="190">
        <f t="shared" si="6"/>
        <v>25</v>
      </c>
      <c r="P43" s="190">
        <f t="shared" si="7"/>
        <v>215</v>
      </c>
      <c r="Q43" s="6">
        <v>24</v>
      </c>
      <c r="R43" s="7">
        <v>45.65</v>
      </c>
      <c r="S43" s="7"/>
      <c r="T43" s="7"/>
    </row>
    <row r="44" spans="1:20" ht="12.75">
      <c r="A44" s="54">
        <v>37</v>
      </c>
      <c r="B44" s="51" t="s">
        <v>223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190">
        <f t="shared" si="6"/>
        <v>0</v>
      </c>
      <c r="P44" s="190">
        <f t="shared" si="7"/>
        <v>0</v>
      </c>
      <c r="Q44" s="6">
        <v>0</v>
      </c>
      <c r="R44" s="7">
        <v>0</v>
      </c>
      <c r="S44" s="7"/>
      <c r="T44" s="7"/>
    </row>
    <row r="45" spans="1:20" ht="12.75">
      <c r="A45" s="54">
        <v>38</v>
      </c>
      <c r="B45" s="51" t="s">
        <v>364</v>
      </c>
      <c r="C45" s="51">
        <v>1</v>
      </c>
      <c r="D45" s="51">
        <v>0</v>
      </c>
      <c r="E45" s="51">
        <v>0</v>
      </c>
      <c r="F45" s="51">
        <v>0</v>
      </c>
      <c r="G45" s="51">
        <v>48</v>
      </c>
      <c r="H45" s="51">
        <v>188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190">
        <f t="shared" si="6"/>
        <v>49</v>
      </c>
      <c r="P45" s="190">
        <f t="shared" si="7"/>
        <v>188</v>
      </c>
      <c r="Q45" s="6"/>
      <c r="R45" s="7"/>
      <c r="S45" s="7"/>
      <c r="T45" s="7"/>
    </row>
    <row r="46" spans="1:20" ht="12.75">
      <c r="A46" s="54">
        <v>39</v>
      </c>
      <c r="B46" s="57" t="s">
        <v>366</v>
      </c>
      <c r="C46" s="51">
        <v>3</v>
      </c>
      <c r="D46" s="51">
        <v>6</v>
      </c>
      <c r="E46" s="51">
        <v>1</v>
      </c>
      <c r="F46" s="51">
        <v>1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2</v>
      </c>
      <c r="N46" s="51">
        <v>2</v>
      </c>
      <c r="O46" s="190">
        <f t="shared" si="6"/>
        <v>6</v>
      </c>
      <c r="P46" s="190">
        <f t="shared" si="7"/>
        <v>9</v>
      </c>
      <c r="Q46" s="6"/>
      <c r="R46" s="7"/>
      <c r="S46" s="7"/>
      <c r="T46" s="7"/>
    </row>
    <row r="47" spans="1:20" s="165" customFormat="1" ht="14.25">
      <c r="A47" s="163"/>
      <c r="B47" s="128" t="s">
        <v>225</v>
      </c>
      <c r="C47" s="128">
        <f>SUM(C34:C46)</f>
        <v>138</v>
      </c>
      <c r="D47" s="128">
        <f aca="true" t="shared" si="8" ref="D47:N47">SUM(D34:D46)</f>
        <v>349</v>
      </c>
      <c r="E47" s="128">
        <f t="shared" si="8"/>
        <v>47</v>
      </c>
      <c r="F47" s="128">
        <f t="shared" si="8"/>
        <v>386</v>
      </c>
      <c r="G47" s="128">
        <f t="shared" si="8"/>
        <v>184</v>
      </c>
      <c r="H47" s="128">
        <f t="shared" si="8"/>
        <v>420</v>
      </c>
      <c r="I47" s="128">
        <f t="shared" si="8"/>
        <v>0</v>
      </c>
      <c r="J47" s="128">
        <f t="shared" si="8"/>
        <v>0</v>
      </c>
      <c r="K47" s="128">
        <f t="shared" si="8"/>
        <v>0</v>
      </c>
      <c r="L47" s="128">
        <f t="shared" si="8"/>
        <v>0</v>
      </c>
      <c r="M47" s="128">
        <f t="shared" si="8"/>
        <v>41</v>
      </c>
      <c r="N47" s="128">
        <f t="shared" si="8"/>
        <v>111</v>
      </c>
      <c r="O47" s="197">
        <f>SUM(O34:O46)</f>
        <v>410</v>
      </c>
      <c r="P47" s="197">
        <f>SUM(P34:P46)</f>
        <v>1266</v>
      </c>
      <c r="Q47" s="167"/>
      <c r="R47" s="166"/>
      <c r="S47" s="166"/>
      <c r="T47" s="166"/>
    </row>
    <row r="48" spans="1:20" s="165" customFormat="1" ht="14.25">
      <c r="A48" s="163"/>
      <c r="B48" s="87" t="s">
        <v>123</v>
      </c>
      <c r="C48" s="128">
        <f aca="true" t="shared" si="9" ref="C48:N48">C25+C33+C47</f>
        <v>5666</v>
      </c>
      <c r="D48" s="128">
        <f t="shared" si="9"/>
        <v>9512</v>
      </c>
      <c r="E48" s="128">
        <f t="shared" si="9"/>
        <v>1394</v>
      </c>
      <c r="F48" s="128">
        <f t="shared" si="9"/>
        <v>3394</v>
      </c>
      <c r="G48" s="128">
        <f t="shared" si="9"/>
        <v>964</v>
      </c>
      <c r="H48" s="128">
        <f t="shared" si="9"/>
        <v>1440</v>
      </c>
      <c r="I48" s="128">
        <f t="shared" si="9"/>
        <v>19</v>
      </c>
      <c r="J48" s="128">
        <f t="shared" si="9"/>
        <v>70</v>
      </c>
      <c r="K48" s="128">
        <f t="shared" si="9"/>
        <v>79</v>
      </c>
      <c r="L48" s="128">
        <f t="shared" si="9"/>
        <v>130</v>
      </c>
      <c r="M48" s="128">
        <f t="shared" si="9"/>
        <v>3128</v>
      </c>
      <c r="N48" s="128">
        <f t="shared" si="9"/>
        <v>5505</v>
      </c>
      <c r="O48" s="197">
        <f>C48+E48+G48+I48+K48+M48</f>
        <v>11250</v>
      </c>
      <c r="P48" s="197">
        <f>D48+F48+H48+J48+L48+N48</f>
        <v>20051</v>
      </c>
      <c r="S48" s="166"/>
      <c r="T48" s="166"/>
    </row>
    <row r="49" spans="1:20" ht="14.25">
      <c r="A49" s="52"/>
      <c r="B49" s="52"/>
      <c r="C49" s="128"/>
      <c r="D49" s="128"/>
      <c r="E49" s="128"/>
      <c r="F49" s="128"/>
      <c r="G49" s="128"/>
      <c r="H49" s="128"/>
      <c r="I49" s="51"/>
      <c r="J49" s="51"/>
      <c r="K49" s="51"/>
      <c r="L49" s="51"/>
      <c r="M49" s="51"/>
      <c r="N49" s="51"/>
      <c r="O49" s="190"/>
      <c r="P49" s="190"/>
      <c r="S49" s="7"/>
      <c r="T49" s="7"/>
    </row>
    <row r="50" spans="1:20" ht="18" customHeight="1">
      <c r="A50" s="31"/>
      <c r="B50" s="31"/>
      <c r="C50" s="78" t="s">
        <v>36</v>
      </c>
      <c r="D50" s="96" t="s">
        <v>36</v>
      </c>
      <c r="E50" s="96"/>
      <c r="F50" s="96"/>
      <c r="G50" s="96"/>
      <c r="H50" s="78"/>
      <c r="I50" s="78"/>
      <c r="J50" s="78"/>
      <c r="K50" s="78"/>
      <c r="L50" s="78"/>
      <c r="M50" s="78"/>
      <c r="N50" s="78"/>
      <c r="O50" s="250"/>
      <c r="P50" s="191"/>
      <c r="S50" s="7"/>
      <c r="T50" s="7"/>
    </row>
    <row r="51" spans="1:20" ht="12.75">
      <c r="A51" s="31"/>
      <c r="B51" s="31"/>
      <c r="C51" s="63" t="s">
        <v>36</v>
      </c>
      <c r="D51" s="147" t="s">
        <v>83</v>
      </c>
      <c r="E51" s="85"/>
      <c r="F51" s="85"/>
      <c r="G51" s="85" t="s">
        <v>36</v>
      </c>
      <c r="H51" s="85" t="s">
        <v>36</v>
      </c>
      <c r="I51" s="85" t="s">
        <v>36</v>
      </c>
      <c r="J51" s="85" t="s">
        <v>36</v>
      </c>
      <c r="K51" s="85" t="s">
        <v>36</v>
      </c>
      <c r="L51" s="85"/>
      <c r="M51" s="85"/>
      <c r="N51" s="85"/>
      <c r="O51" s="270"/>
      <c r="P51" s="191"/>
      <c r="S51" s="7"/>
      <c r="T51" s="7"/>
    </row>
    <row r="52" spans="1:20" ht="12.75">
      <c r="A52" s="43" t="s">
        <v>4</v>
      </c>
      <c r="B52" s="43" t="s">
        <v>5</v>
      </c>
      <c r="C52" s="663" t="s">
        <v>149</v>
      </c>
      <c r="D52" s="664"/>
      <c r="E52" s="663" t="s">
        <v>148</v>
      </c>
      <c r="F52" s="664"/>
      <c r="G52" s="663" t="s">
        <v>147</v>
      </c>
      <c r="H52" s="664"/>
      <c r="I52" s="663" t="s">
        <v>146</v>
      </c>
      <c r="J52" s="664"/>
      <c r="K52" s="663" t="s">
        <v>145</v>
      </c>
      <c r="L52" s="664"/>
      <c r="M52" s="663" t="s">
        <v>228</v>
      </c>
      <c r="N52" s="664"/>
      <c r="O52" s="253" t="s">
        <v>222</v>
      </c>
      <c r="P52" s="254"/>
      <c r="S52" s="7"/>
      <c r="T52" s="7"/>
    </row>
    <row r="53" spans="1:20" ht="12.75">
      <c r="A53" s="47" t="s">
        <v>6</v>
      </c>
      <c r="B53" s="47"/>
      <c r="C53" s="82" t="s">
        <v>57</v>
      </c>
      <c r="D53" s="82" t="s">
        <v>63</v>
      </c>
      <c r="E53" s="82" t="s">
        <v>57</v>
      </c>
      <c r="F53" s="82" t="s">
        <v>63</v>
      </c>
      <c r="G53" s="82" t="s">
        <v>57</v>
      </c>
      <c r="H53" s="82" t="s">
        <v>63</v>
      </c>
      <c r="I53" s="82" t="s">
        <v>57</v>
      </c>
      <c r="J53" s="82" t="s">
        <v>63</v>
      </c>
      <c r="K53" s="82" t="s">
        <v>57</v>
      </c>
      <c r="L53" s="82" t="s">
        <v>63</v>
      </c>
      <c r="M53" s="82" t="s">
        <v>57</v>
      </c>
      <c r="N53" s="82" t="s">
        <v>63</v>
      </c>
      <c r="O53" s="252" t="s">
        <v>57</v>
      </c>
      <c r="P53" s="252" t="s">
        <v>63</v>
      </c>
      <c r="S53" s="7"/>
      <c r="T53" s="7"/>
    </row>
    <row r="54" spans="1:20" ht="15.75" customHeight="1">
      <c r="A54" s="54">
        <v>40</v>
      </c>
      <c r="B54" s="57" t="s">
        <v>78</v>
      </c>
      <c r="C54" s="51">
        <v>148</v>
      </c>
      <c r="D54" s="51">
        <v>134</v>
      </c>
      <c r="E54" s="51">
        <v>1</v>
      </c>
      <c r="F54" s="51">
        <v>1</v>
      </c>
      <c r="G54" s="51">
        <v>2</v>
      </c>
      <c r="H54" s="51">
        <v>1</v>
      </c>
      <c r="I54" s="51">
        <v>0</v>
      </c>
      <c r="J54" s="51">
        <v>0</v>
      </c>
      <c r="K54" s="51">
        <v>0</v>
      </c>
      <c r="L54" s="51">
        <v>0</v>
      </c>
      <c r="M54" s="51">
        <v>47</v>
      </c>
      <c r="N54" s="51">
        <v>57</v>
      </c>
      <c r="O54" s="190">
        <f aca="true" t="shared" si="10" ref="O54:O61">C54+E54+G54+I54+K54+M54</f>
        <v>198</v>
      </c>
      <c r="P54" s="190">
        <f aca="true" t="shared" si="11" ref="P54:P61">D54+F54+H54+J54+L54+N54</f>
        <v>193</v>
      </c>
      <c r="Q54" s="6">
        <v>0</v>
      </c>
      <c r="R54" s="7">
        <v>0</v>
      </c>
      <c r="S54" s="7"/>
      <c r="T54" s="7"/>
    </row>
    <row r="55" spans="1:20" ht="15.75" customHeight="1">
      <c r="A55" s="54">
        <v>41</v>
      </c>
      <c r="B55" s="57" t="s">
        <v>278</v>
      </c>
      <c r="C55" s="51">
        <v>1590</v>
      </c>
      <c r="D55" s="51">
        <v>2437</v>
      </c>
      <c r="E55" s="51">
        <v>30</v>
      </c>
      <c r="F55" s="51">
        <v>31</v>
      </c>
      <c r="G55" s="51">
        <v>22</v>
      </c>
      <c r="H55" s="51">
        <v>19</v>
      </c>
      <c r="I55" s="51">
        <v>0</v>
      </c>
      <c r="J55" s="51">
        <v>0</v>
      </c>
      <c r="K55" s="51">
        <v>0</v>
      </c>
      <c r="L55" s="51">
        <v>0</v>
      </c>
      <c r="M55" s="51">
        <v>2060</v>
      </c>
      <c r="N55" s="51">
        <v>2897</v>
      </c>
      <c r="O55" s="190">
        <f t="shared" si="10"/>
        <v>3702</v>
      </c>
      <c r="P55" s="190">
        <f t="shared" si="11"/>
        <v>5384</v>
      </c>
      <c r="Q55" s="6">
        <v>0</v>
      </c>
      <c r="R55" s="7">
        <v>0</v>
      </c>
      <c r="S55" s="7"/>
      <c r="T55" s="7"/>
    </row>
    <row r="56" spans="1:20" ht="15.75" customHeight="1">
      <c r="A56" s="54">
        <v>42</v>
      </c>
      <c r="B56" s="57" t="s">
        <v>30</v>
      </c>
      <c r="C56" s="51">
        <v>42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20</v>
      </c>
      <c r="N56" s="51">
        <v>16</v>
      </c>
      <c r="O56" s="190">
        <f t="shared" si="10"/>
        <v>62</v>
      </c>
      <c r="P56" s="190">
        <f t="shared" si="11"/>
        <v>16</v>
      </c>
      <c r="Q56" s="6">
        <v>0</v>
      </c>
      <c r="R56" s="7">
        <v>0</v>
      </c>
      <c r="S56" s="7"/>
      <c r="T56" s="7"/>
    </row>
    <row r="57" spans="1:20" ht="15.75" customHeight="1">
      <c r="A57" s="54">
        <v>43</v>
      </c>
      <c r="B57" s="57" t="s">
        <v>234</v>
      </c>
      <c r="C57" s="51">
        <v>748</v>
      </c>
      <c r="D57" s="51">
        <v>517</v>
      </c>
      <c r="E57" s="51">
        <v>17</v>
      </c>
      <c r="F57" s="51">
        <v>28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107</v>
      </c>
      <c r="N57" s="51">
        <v>112</v>
      </c>
      <c r="O57" s="190">
        <f t="shared" si="10"/>
        <v>872</v>
      </c>
      <c r="P57" s="190">
        <f t="shared" si="11"/>
        <v>657</v>
      </c>
      <c r="Q57" s="6">
        <v>0</v>
      </c>
      <c r="R57" s="7">
        <v>0</v>
      </c>
      <c r="S57" s="7"/>
      <c r="T57" s="7"/>
    </row>
    <row r="58" spans="1:20" ht="15.75" customHeight="1">
      <c r="A58" s="54">
        <v>44</v>
      </c>
      <c r="B58" s="57" t="s">
        <v>29</v>
      </c>
      <c r="C58" s="51">
        <v>12</v>
      </c>
      <c r="D58" s="51">
        <v>6</v>
      </c>
      <c r="E58" s="51">
        <v>0</v>
      </c>
      <c r="F58" s="51">
        <v>0</v>
      </c>
      <c r="G58" s="51">
        <v>1</v>
      </c>
      <c r="H58" s="51">
        <v>3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190">
        <f t="shared" si="10"/>
        <v>13</v>
      </c>
      <c r="P58" s="190">
        <f t="shared" si="11"/>
        <v>9</v>
      </c>
      <c r="Q58" s="6">
        <v>14</v>
      </c>
      <c r="R58" s="7">
        <v>12</v>
      </c>
      <c r="S58" s="7"/>
      <c r="T58" s="7"/>
    </row>
    <row r="59" spans="1:20" ht="15.75" customHeight="1">
      <c r="A59" s="54">
        <v>45</v>
      </c>
      <c r="B59" s="57" t="s">
        <v>391</v>
      </c>
      <c r="C59" s="51">
        <v>492</v>
      </c>
      <c r="D59" s="51">
        <v>441</v>
      </c>
      <c r="E59" s="51">
        <v>82</v>
      </c>
      <c r="F59" s="51">
        <v>42</v>
      </c>
      <c r="G59" s="51">
        <v>16</v>
      </c>
      <c r="H59" s="51">
        <v>11</v>
      </c>
      <c r="I59" s="51">
        <v>0</v>
      </c>
      <c r="J59" s="51">
        <v>0</v>
      </c>
      <c r="K59" s="51">
        <v>0</v>
      </c>
      <c r="L59" s="51">
        <v>0</v>
      </c>
      <c r="M59" s="51">
        <v>55</v>
      </c>
      <c r="N59" s="51">
        <v>190</v>
      </c>
      <c r="O59" s="190">
        <f t="shared" si="10"/>
        <v>645</v>
      </c>
      <c r="P59" s="190">
        <f t="shared" si="11"/>
        <v>684</v>
      </c>
      <c r="Q59" s="6">
        <v>0</v>
      </c>
      <c r="R59" s="7">
        <v>0</v>
      </c>
      <c r="S59" s="7"/>
      <c r="T59" s="7"/>
    </row>
    <row r="60" spans="1:20" ht="15.75" customHeight="1">
      <c r="A60" s="54">
        <v>46</v>
      </c>
      <c r="B60" s="57" t="s">
        <v>25</v>
      </c>
      <c r="C60" s="51">
        <v>168</v>
      </c>
      <c r="D60" s="51">
        <v>67</v>
      </c>
      <c r="E60" s="51">
        <v>3</v>
      </c>
      <c r="F60" s="51">
        <v>1</v>
      </c>
      <c r="G60" s="51">
        <v>3</v>
      </c>
      <c r="H60" s="51">
        <v>1</v>
      </c>
      <c r="I60" s="51">
        <v>0</v>
      </c>
      <c r="J60" s="51">
        <v>0</v>
      </c>
      <c r="K60" s="51">
        <v>0</v>
      </c>
      <c r="L60" s="51">
        <v>0</v>
      </c>
      <c r="M60" s="51">
        <v>18</v>
      </c>
      <c r="N60" s="51">
        <v>17</v>
      </c>
      <c r="O60" s="190">
        <f t="shared" si="10"/>
        <v>192</v>
      </c>
      <c r="P60" s="190">
        <f t="shared" si="11"/>
        <v>86</v>
      </c>
      <c r="Q60" s="6">
        <v>0</v>
      </c>
      <c r="R60" s="7">
        <v>0</v>
      </c>
      <c r="S60" s="7"/>
      <c r="T60" s="7"/>
    </row>
    <row r="61" spans="1:20" ht="15.75" customHeight="1">
      <c r="A61" s="54">
        <v>47</v>
      </c>
      <c r="B61" s="57" t="s">
        <v>28</v>
      </c>
      <c r="C61" s="51">
        <v>145</v>
      </c>
      <c r="D61" s="51">
        <v>91</v>
      </c>
      <c r="E61" s="51">
        <v>10</v>
      </c>
      <c r="F61" s="51">
        <v>15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570</v>
      </c>
      <c r="N61" s="51">
        <v>542</v>
      </c>
      <c r="O61" s="190">
        <f t="shared" si="10"/>
        <v>725</v>
      </c>
      <c r="P61" s="190">
        <f t="shared" si="11"/>
        <v>648</v>
      </c>
      <c r="Q61" s="6">
        <v>21</v>
      </c>
      <c r="R61" s="7">
        <v>27.82</v>
      </c>
      <c r="S61" s="7"/>
      <c r="T61" s="7"/>
    </row>
    <row r="62" spans="1:20" s="165" customFormat="1" ht="15.75" customHeight="1">
      <c r="A62" s="54"/>
      <c r="B62" s="87" t="s">
        <v>123</v>
      </c>
      <c r="C62" s="128">
        <f aca="true" t="shared" si="12" ref="C62:P62">SUM(C54:C61)</f>
        <v>3345</v>
      </c>
      <c r="D62" s="128">
        <f t="shared" si="12"/>
        <v>3693</v>
      </c>
      <c r="E62" s="128">
        <f t="shared" si="12"/>
        <v>143</v>
      </c>
      <c r="F62" s="128">
        <f t="shared" si="12"/>
        <v>118</v>
      </c>
      <c r="G62" s="128">
        <f t="shared" si="12"/>
        <v>44</v>
      </c>
      <c r="H62" s="128">
        <f t="shared" si="12"/>
        <v>35</v>
      </c>
      <c r="I62" s="128">
        <f t="shared" si="12"/>
        <v>0</v>
      </c>
      <c r="J62" s="128">
        <f t="shared" si="12"/>
        <v>0</v>
      </c>
      <c r="K62" s="128">
        <f t="shared" si="12"/>
        <v>0</v>
      </c>
      <c r="L62" s="128">
        <f t="shared" si="12"/>
        <v>0</v>
      </c>
      <c r="M62" s="128">
        <f t="shared" si="12"/>
        <v>2877</v>
      </c>
      <c r="N62" s="128">
        <f t="shared" si="12"/>
        <v>3831</v>
      </c>
      <c r="O62" s="197">
        <f t="shared" si="12"/>
        <v>6409</v>
      </c>
      <c r="P62" s="197">
        <f t="shared" si="12"/>
        <v>7677</v>
      </c>
      <c r="Q62" s="167"/>
      <c r="R62" s="166"/>
      <c r="S62" s="166"/>
      <c r="T62" s="166"/>
    </row>
    <row r="63" spans="1:20" ht="15.75" customHeight="1">
      <c r="A63" s="54"/>
      <c r="B63" t="s">
        <v>36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90"/>
      <c r="P63" s="190"/>
      <c r="Q63" s="6"/>
      <c r="R63" s="7"/>
      <c r="S63" s="7"/>
      <c r="T63" s="7"/>
    </row>
    <row r="64" spans="1:20" ht="15.75" customHeight="1">
      <c r="A64" s="54">
        <v>48</v>
      </c>
      <c r="B64" s="51" t="s">
        <v>34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190">
        <f>C64+E64+G64+I64+K64+M64</f>
        <v>0</v>
      </c>
      <c r="P64" s="190">
        <f>D64+F64+H64+J64+L64+N64</f>
        <v>0</v>
      </c>
      <c r="Q64" s="6">
        <v>0</v>
      </c>
      <c r="R64" s="7">
        <v>0</v>
      </c>
      <c r="S64" s="7"/>
      <c r="T64" s="7"/>
    </row>
    <row r="65" spans="1:20" ht="15.75" customHeight="1">
      <c r="A65" s="54">
        <v>49</v>
      </c>
      <c r="B65" s="51" t="s">
        <v>130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190">
        <f>C65+E65+G65+I65+K65+M65</f>
        <v>0</v>
      </c>
      <c r="P65" s="190">
        <f>D65+F65+H65+J65+L65+N65</f>
        <v>0</v>
      </c>
      <c r="Q65" s="6">
        <v>0</v>
      </c>
      <c r="R65" s="7">
        <v>0</v>
      </c>
      <c r="S65" s="7"/>
      <c r="T65" s="7"/>
    </row>
    <row r="66" spans="1:20" s="165" customFormat="1" ht="15.75" customHeight="1">
      <c r="A66" s="163"/>
      <c r="B66" s="87" t="s">
        <v>123</v>
      </c>
      <c r="C66" s="128">
        <f aca="true" t="shared" si="13" ref="C66:P66">SUM(C64:C65)</f>
        <v>0</v>
      </c>
      <c r="D66" s="128">
        <f t="shared" si="13"/>
        <v>0</v>
      </c>
      <c r="E66" s="128">
        <f t="shared" si="13"/>
        <v>0</v>
      </c>
      <c r="F66" s="128">
        <f t="shared" si="13"/>
        <v>0</v>
      </c>
      <c r="G66" s="128">
        <f t="shared" si="13"/>
        <v>0</v>
      </c>
      <c r="H66" s="128">
        <f t="shared" si="13"/>
        <v>0</v>
      </c>
      <c r="I66" s="128">
        <f t="shared" si="13"/>
        <v>0</v>
      </c>
      <c r="J66" s="128">
        <f t="shared" si="13"/>
        <v>0</v>
      </c>
      <c r="K66" s="128">
        <f t="shared" si="13"/>
        <v>0</v>
      </c>
      <c r="L66" s="128">
        <f t="shared" si="13"/>
        <v>0</v>
      </c>
      <c r="M66" s="128">
        <f>SUM(M64:M65)</f>
        <v>0</v>
      </c>
      <c r="N66" s="128">
        <f>SUM(N64:N65)</f>
        <v>0</v>
      </c>
      <c r="O66" s="197">
        <f t="shared" si="13"/>
        <v>0</v>
      </c>
      <c r="P66" s="197">
        <f t="shared" si="13"/>
        <v>0</v>
      </c>
      <c r="S66" s="166"/>
      <c r="T66" s="166"/>
    </row>
    <row r="67" spans="1:20" s="165" customFormat="1" ht="15.75" customHeight="1">
      <c r="A67" s="163"/>
      <c r="B67" s="8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97"/>
      <c r="P67" s="197"/>
      <c r="S67" s="166"/>
      <c r="T67" s="166"/>
    </row>
    <row r="68" spans="1:20" s="165" customFormat="1" ht="15.75" customHeight="1">
      <c r="A68" s="163"/>
      <c r="B68" s="87" t="s">
        <v>35</v>
      </c>
      <c r="C68" s="128">
        <f aca="true" t="shared" si="14" ref="C68:P68">C48+C62+C66</f>
        <v>9011</v>
      </c>
      <c r="D68" s="128">
        <f t="shared" si="14"/>
        <v>13205</v>
      </c>
      <c r="E68" s="128">
        <f t="shared" si="14"/>
        <v>1537</v>
      </c>
      <c r="F68" s="128">
        <f t="shared" si="14"/>
        <v>3512</v>
      </c>
      <c r="G68" s="128">
        <f t="shared" si="14"/>
        <v>1008</v>
      </c>
      <c r="H68" s="128">
        <f t="shared" si="14"/>
        <v>1475</v>
      </c>
      <c r="I68" s="128">
        <f t="shared" si="14"/>
        <v>19</v>
      </c>
      <c r="J68" s="128">
        <f t="shared" si="14"/>
        <v>70</v>
      </c>
      <c r="K68" s="128">
        <f t="shared" si="14"/>
        <v>79</v>
      </c>
      <c r="L68" s="128">
        <f t="shared" si="14"/>
        <v>130</v>
      </c>
      <c r="M68" s="128">
        <f t="shared" si="14"/>
        <v>6005</v>
      </c>
      <c r="N68" s="128">
        <f t="shared" si="14"/>
        <v>9336</v>
      </c>
      <c r="O68" s="197">
        <f t="shared" si="14"/>
        <v>17659</v>
      </c>
      <c r="P68" s="197">
        <f t="shared" si="14"/>
        <v>27728</v>
      </c>
      <c r="S68" s="166"/>
      <c r="T68" s="166"/>
    </row>
    <row r="70" spans="15:16" ht="12.75">
      <c r="O70" s="267"/>
      <c r="P70" s="267"/>
    </row>
    <row r="72" spans="4:5" ht="12.75">
      <c r="D72" s="15">
        <v>14</v>
      </c>
      <c r="E72" s="15" t="s">
        <v>408</v>
      </c>
    </row>
  </sheetData>
  <sheetProtection/>
  <mergeCells count="12">
    <mergeCell ref="G52:H52"/>
    <mergeCell ref="I52:J52"/>
    <mergeCell ref="C4:D4"/>
    <mergeCell ref="E4:F4"/>
    <mergeCell ref="C52:D52"/>
    <mergeCell ref="E52:F52"/>
    <mergeCell ref="G4:H4"/>
    <mergeCell ref="I4:J4"/>
    <mergeCell ref="M4:N4"/>
    <mergeCell ref="M52:N52"/>
    <mergeCell ref="K4:L4"/>
    <mergeCell ref="K52:L52"/>
  </mergeCells>
  <printOptions gridLines="1" horizontalCentered="1"/>
  <pageMargins left="0.5" right="0.5" top="0.61" bottom="0.66" header="0.5" footer="0.5"/>
  <pageSetup blackAndWhite="1" horizontalDpi="300" verticalDpi="300" orientation="landscape" paperSize="9" scale="79" r:id="rId2"/>
  <rowBreaks count="1" manualBreakCount="1">
    <brk id="48" max="25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zoomScaleSheetLayoutView="100" zoomScalePageLayoutView="0" workbookViewId="0" topLeftCell="B37">
      <selection activeCell="J14" sqref="J14"/>
    </sheetView>
  </sheetViews>
  <sheetFormatPr defaultColWidth="9.140625" defaultRowHeight="12.75"/>
  <cols>
    <col min="1" max="1" width="4.7109375" style="45" customWidth="1"/>
    <col min="2" max="2" width="24.00390625" style="45" customWidth="1"/>
    <col min="3" max="3" width="12.7109375" style="525" customWidth="1"/>
    <col min="4" max="5" width="12.7109375" style="505" customWidth="1"/>
    <col min="6" max="6" width="13.421875" style="505" customWidth="1"/>
    <col min="7" max="9" width="12.7109375" style="505" customWidth="1"/>
    <col min="10" max="10" width="14.140625" style="525" customWidth="1"/>
    <col min="11" max="12" width="12.7109375" style="525" customWidth="1"/>
    <col min="13" max="14" width="10.57421875" style="45" bestFit="1" customWidth="1"/>
    <col min="15" max="16384" width="9.140625" style="45" customWidth="1"/>
  </cols>
  <sheetData>
    <row r="1" spans="3:8" ht="18" customHeight="1">
      <c r="C1" s="251"/>
      <c r="D1" s="504"/>
      <c r="E1" s="504"/>
      <c r="F1" s="504"/>
      <c r="G1" s="504"/>
      <c r="H1" s="504"/>
    </row>
    <row r="2" spans="4:12" ht="18" customHeight="1">
      <c r="D2" s="504"/>
      <c r="E2" s="504"/>
      <c r="F2" s="504"/>
      <c r="G2" s="504"/>
      <c r="K2" s="251"/>
      <c r="L2" s="251"/>
    </row>
    <row r="3" spans="4:12" ht="18" customHeight="1">
      <c r="D3" s="504"/>
      <c r="E3" s="504"/>
      <c r="F3" s="504"/>
      <c r="G3" s="504"/>
      <c r="K3" s="251"/>
      <c r="L3" s="251"/>
    </row>
    <row r="4" spans="1:12" ht="13.5" customHeight="1">
      <c r="A4" s="201"/>
      <c r="B4" s="202"/>
      <c r="C4" s="255"/>
      <c r="D4" s="506" t="s">
        <v>37</v>
      </c>
      <c r="E4" s="506"/>
      <c r="F4" s="507"/>
      <c r="G4" s="356" t="s">
        <v>38</v>
      </c>
      <c r="H4" s="506"/>
      <c r="I4" s="507"/>
      <c r="J4" s="526" t="s">
        <v>39</v>
      </c>
      <c r="K4" s="527"/>
      <c r="L4" s="528"/>
    </row>
    <row r="5" spans="1:12" ht="13.5" customHeight="1">
      <c r="A5" s="187" t="s">
        <v>274</v>
      </c>
      <c r="B5" s="187" t="s">
        <v>5</v>
      </c>
      <c r="C5" s="249" t="s">
        <v>40</v>
      </c>
      <c r="D5" s="358" t="s">
        <v>0</v>
      </c>
      <c r="E5" s="358" t="s">
        <v>41</v>
      </c>
      <c r="F5" s="358" t="s">
        <v>2</v>
      </c>
      <c r="G5" s="358" t="s">
        <v>0</v>
      </c>
      <c r="H5" s="358" t="s">
        <v>41</v>
      </c>
      <c r="I5" s="358" t="s">
        <v>2</v>
      </c>
      <c r="J5" s="252" t="s">
        <v>0</v>
      </c>
      <c r="K5" s="252" t="s">
        <v>41</v>
      </c>
      <c r="L5" s="252" t="s">
        <v>2</v>
      </c>
    </row>
    <row r="6" spans="1:14" ht="12.75" customHeight="1">
      <c r="A6" s="54">
        <v>1</v>
      </c>
      <c r="B6" s="57" t="s">
        <v>7</v>
      </c>
      <c r="C6" s="190">
        <f>'TABLE-1'!F6</f>
        <v>155</v>
      </c>
      <c r="D6" s="116">
        <v>78528</v>
      </c>
      <c r="E6" s="116">
        <v>54207</v>
      </c>
      <c r="F6" s="116">
        <v>282540</v>
      </c>
      <c r="G6" s="116">
        <v>54569</v>
      </c>
      <c r="H6" s="116">
        <v>31195</v>
      </c>
      <c r="I6" s="116">
        <v>123924</v>
      </c>
      <c r="J6" s="190">
        <f aca="true" t="shared" si="0" ref="J6:J22">(G6/D6)*100</f>
        <v>69.48986348818255</v>
      </c>
      <c r="K6" s="190">
        <f>(H6/E6)*100</f>
        <v>57.54791816555057</v>
      </c>
      <c r="L6" s="190">
        <f>(I6/F6)*100</f>
        <v>43.860692291356976</v>
      </c>
      <c r="M6" s="46"/>
      <c r="N6" s="46"/>
    </row>
    <row r="7" spans="1:14" ht="12.75" customHeight="1">
      <c r="A7" s="54">
        <v>2</v>
      </c>
      <c r="B7" s="57" t="s">
        <v>8</v>
      </c>
      <c r="C7" s="190">
        <f>'TABLE-1'!F7</f>
        <v>14</v>
      </c>
      <c r="D7" s="116">
        <v>0</v>
      </c>
      <c r="E7" s="116">
        <v>0</v>
      </c>
      <c r="F7" s="116">
        <v>29549</v>
      </c>
      <c r="G7" s="116">
        <v>0</v>
      </c>
      <c r="H7" s="116">
        <v>0</v>
      </c>
      <c r="I7" s="116">
        <v>9265</v>
      </c>
      <c r="J7" s="190">
        <v>0</v>
      </c>
      <c r="K7" s="190">
        <v>0</v>
      </c>
      <c r="L7" s="190">
        <f aca="true" t="shared" si="1" ref="L7:L24">(I7/F7)*100</f>
        <v>31.35469897458459</v>
      </c>
      <c r="M7" s="46"/>
      <c r="N7" s="46"/>
    </row>
    <row r="8" spans="1:14" ht="12.75" customHeight="1">
      <c r="A8" s="54">
        <v>3</v>
      </c>
      <c r="B8" s="57" t="s">
        <v>9</v>
      </c>
      <c r="C8" s="190">
        <f>'TABLE-1'!F8</f>
        <v>78</v>
      </c>
      <c r="D8" s="116">
        <v>18652</v>
      </c>
      <c r="E8" s="116">
        <v>47678</v>
      </c>
      <c r="F8" s="116">
        <v>239515</v>
      </c>
      <c r="G8" s="116">
        <v>10309</v>
      </c>
      <c r="H8" s="116">
        <v>17380</v>
      </c>
      <c r="I8" s="116">
        <v>133327</v>
      </c>
      <c r="J8" s="190">
        <f t="shared" si="0"/>
        <v>55.270212309671884</v>
      </c>
      <c r="K8" s="190">
        <f aca="true" t="shared" si="2" ref="K8:K22">(H8/E8)*100</f>
        <v>36.45287134527455</v>
      </c>
      <c r="L8" s="190">
        <f t="shared" si="1"/>
        <v>55.66540717700352</v>
      </c>
      <c r="M8" s="46"/>
      <c r="N8" s="46"/>
    </row>
    <row r="9" spans="1:14" ht="12.75" customHeight="1">
      <c r="A9" s="54">
        <v>4</v>
      </c>
      <c r="B9" s="57" t="s">
        <v>10</v>
      </c>
      <c r="C9" s="190">
        <f>'TABLE-1'!F9</f>
        <v>272</v>
      </c>
      <c r="D9" s="116">
        <v>140706</v>
      </c>
      <c r="E9" s="116">
        <v>175775</v>
      </c>
      <c r="F9" s="116">
        <v>387064</v>
      </c>
      <c r="G9" s="116">
        <v>198280</v>
      </c>
      <c r="H9" s="116">
        <v>129692</v>
      </c>
      <c r="I9" s="116">
        <v>185658</v>
      </c>
      <c r="J9" s="190">
        <f t="shared" si="0"/>
        <v>140.91794237630236</v>
      </c>
      <c r="K9" s="190">
        <f t="shared" si="2"/>
        <v>73.78296117195278</v>
      </c>
      <c r="L9" s="190">
        <f t="shared" si="1"/>
        <v>47.96571109687287</v>
      </c>
      <c r="M9" s="46"/>
      <c r="N9" s="46"/>
    </row>
    <row r="10" spans="1:14" ht="12.75" customHeight="1">
      <c r="A10" s="54">
        <v>5</v>
      </c>
      <c r="B10" s="57" t="s">
        <v>11</v>
      </c>
      <c r="C10" s="190">
        <f>'TABLE-1'!F10</f>
        <v>114</v>
      </c>
      <c r="D10" s="116">
        <v>51811</v>
      </c>
      <c r="E10" s="116">
        <v>37640</v>
      </c>
      <c r="F10" s="116">
        <v>84584</v>
      </c>
      <c r="G10" s="116">
        <v>33776</v>
      </c>
      <c r="H10" s="116">
        <v>9479</v>
      </c>
      <c r="I10" s="116">
        <v>34252</v>
      </c>
      <c r="J10" s="190">
        <f t="shared" si="0"/>
        <v>65.19078960066396</v>
      </c>
      <c r="K10" s="190">
        <f t="shared" si="2"/>
        <v>25.183315621679064</v>
      </c>
      <c r="L10" s="190">
        <f t="shared" si="1"/>
        <v>40.49465619975409</v>
      </c>
      <c r="M10" s="46"/>
      <c r="N10" s="46"/>
    </row>
    <row r="11" spans="1:14" ht="12.75" customHeight="1">
      <c r="A11" s="54">
        <v>6</v>
      </c>
      <c r="B11" s="57" t="s">
        <v>12</v>
      </c>
      <c r="C11" s="190">
        <f>'TABLE-1'!F11</f>
        <v>51</v>
      </c>
      <c r="D11" s="116">
        <v>9329</v>
      </c>
      <c r="E11" s="116">
        <v>16117</v>
      </c>
      <c r="F11" s="116">
        <v>116867</v>
      </c>
      <c r="G11" s="116">
        <v>6771</v>
      </c>
      <c r="H11" s="116">
        <v>6786</v>
      </c>
      <c r="I11" s="116">
        <v>61198</v>
      </c>
      <c r="J11" s="190">
        <f t="shared" si="0"/>
        <v>72.58012648729768</v>
      </c>
      <c r="K11" s="190">
        <f t="shared" si="2"/>
        <v>42.10461003908917</v>
      </c>
      <c r="L11" s="190">
        <f t="shared" si="1"/>
        <v>52.365509510811435</v>
      </c>
      <c r="M11" s="46"/>
      <c r="N11" s="46"/>
    </row>
    <row r="12" spans="1:14" s="563" customFormat="1" ht="12.75" customHeight="1">
      <c r="A12" s="54">
        <v>7</v>
      </c>
      <c r="B12" s="57" t="s">
        <v>13</v>
      </c>
      <c r="C12" s="190">
        <f>'TABLE-1'!F12</f>
        <v>376</v>
      </c>
      <c r="D12" s="57">
        <v>183747</v>
      </c>
      <c r="E12" s="57">
        <v>212514</v>
      </c>
      <c r="F12" s="57">
        <v>424070</v>
      </c>
      <c r="G12" s="57">
        <v>118877</v>
      </c>
      <c r="H12" s="57">
        <v>138760</v>
      </c>
      <c r="I12" s="57">
        <v>227951</v>
      </c>
      <c r="J12" s="190">
        <f t="shared" si="0"/>
        <v>64.69602224798227</v>
      </c>
      <c r="K12" s="190">
        <f t="shared" si="2"/>
        <v>65.29452177268321</v>
      </c>
      <c r="L12" s="190">
        <f t="shared" si="1"/>
        <v>53.753153960431064</v>
      </c>
      <c r="M12" s="562"/>
      <c r="N12" s="562"/>
    </row>
    <row r="13" spans="1:14" s="563" customFormat="1" ht="12.75" customHeight="1">
      <c r="A13" s="54">
        <v>8</v>
      </c>
      <c r="B13" s="57" t="s">
        <v>162</v>
      </c>
      <c r="C13" s="190">
        <f>'TABLE-1'!F13</f>
        <v>17</v>
      </c>
      <c r="D13" s="57">
        <v>0</v>
      </c>
      <c r="E13" s="57">
        <v>780</v>
      </c>
      <c r="F13" s="57">
        <v>64577</v>
      </c>
      <c r="G13" s="57">
        <v>0</v>
      </c>
      <c r="H13" s="57">
        <v>177</v>
      </c>
      <c r="I13" s="57">
        <v>10121</v>
      </c>
      <c r="J13" s="190">
        <v>0</v>
      </c>
      <c r="K13" s="190">
        <f t="shared" si="2"/>
        <v>22.692307692307693</v>
      </c>
      <c r="L13" s="190">
        <f t="shared" si="1"/>
        <v>15.672762748346935</v>
      </c>
      <c r="M13" s="562"/>
      <c r="N13" s="562"/>
    </row>
    <row r="14" spans="1:14" ht="12.75" customHeight="1">
      <c r="A14" s="54">
        <v>9</v>
      </c>
      <c r="B14" s="57" t="s">
        <v>14</v>
      </c>
      <c r="C14" s="190">
        <f>'TABLE-1'!F14</f>
        <v>37</v>
      </c>
      <c r="D14" s="116">
        <v>5269</v>
      </c>
      <c r="E14" s="116">
        <v>9337</v>
      </c>
      <c r="F14" s="116">
        <v>131227</v>
      </c>
      <c r="G14" s="116">
        <v>2098</v>
      </c>
      <c r="H14" s="116">
        <v>3108</v>
      </c>
      <c r="I14" s="116">
        <v>118043</v>
      </c>
      <c r="J14" s="190">
        <f t="shared" si="0"/>
        <v>39.81780223951414</v>
      </c>
      <c r="K14" s="190">
        <f t="shared" si="2"/>
        <v>33.28692299453786</v>
      </c>
      <c r="L14" s="190">
        <f t="shared" si="1"/>
        <v>89.95328705220724</v>
      </c>
      <c r="M14" s="46"/>
      <c r="N14" s="46"/>
    </row>
    <row r="15" spans="1:14" ht="12.75" customHeight="1">
      <c r="A15" s="54">
        <v>10</v>
      </c>
      <c r="B15" s="57" t="s">
        <v>15</v>
      </c>
      <c r="C15" s="190">
        <f>'TABLE-1'!F15</f>
        <v>16</v>
      </c>
      <c r="D15" s="116">
        <v>0</v>
      </c>
      <c r="E15" s="116">
        <v>859</v>
      </c>
      <c r="F15" s="116">
        <v>19365</v>
      </c>
      <c r="G15" s="116">
        <v>0</v>
      </c>
      <c r="H15" s="116">
        <v>837</v>
      </c>
      <c r="I15" s="116">
        <v>6120</v>
      </c>
      <c r="J15" s="190">
        <v>0</v>
      </c>
      <c r="K15" s="190">
        <f t="shared" si="2"/>
        <v>97.43888242142026</v>
      </c>
      <c r="L15" s="190">
        <f t="shared" si="1"/>
        <v>31.603408210689388</v>
      </c>
      <c r="M15" s="46"/>
      <c r="N15" s="46"/>
    </row>
    <row r="16" spans="1:14" ht="12.75" customHeight="1">
      <c r="A16" s="54">
        <v>11</v>
      </c>
      <c r="B16" s="57" t="s">
        <v>16</v>
      </c>
      <c r="C16" s="190">
        <f>'TABLE-1'!F16</f>
        <v>19</v>
      </c>
      <c r="D16" s="116">
        <v>623</v>
      </c>
      <c r="E16" s="116">
        <v>0</v>
      </c>
      <c r="F16" s="116">
        <v>33572</v>
      </c>
      <c r="G16" s="116">
        <v>181</v>
      </c>
      <c r="H16" s="116">
        <v>0</v>
      </c>
      <c r="I16" s="116">
        <v>12034</v>
      </c>
      <c r="J16" s="190">
        <f t="shared" si="0"/>
        <v>29.052969502407706</v>
      </c>
      <c r="K16" s="190">
        <v>0</v>
      </c>
      <c r="L16" s="190">
        <f t="shared" si="1"/>
        <v>35.84534731323722</v>
      </c>
      <c r="M16" s="46"/>
      <c r="N16" s="46"/>
    </row>
    <row r="17" spans="1:14" ht="12.75" customHeight="1">
      <c r="A17" s="54">
        <v>12</v>
      </c>
      <c r="B17" s="57" t="s">
        <v>281</v>
      </c>
      <c r="C17" s="190">
        <f>'TABLE-1'!F17</f>
        <v>48</v>
      </c>
      <c r="D17" s="116">
        <v>0</v>
      </c>
      <c r="E17" s="116">
        <v>21989</v>
      </c>
      <c r="F17" s="116">
        <v>210126</v>
      </c>
      <c r="G17" s="116">
        <v>0</v>
      </c>
      <c r="H17" s="116">
        <v>12178</v>
      </c>
      <c r="I17" s="116">
        <v>87746</v>
      </c>
      <c r="J17" s="190">
        <v>0</v>
      </c>
      <c r="K17" s="190">
        <f t="shared" si="2"/>
        <v>55.382236572831864</v>
      </c>
      <c r="L17" s="190">
        <f t="shared" si="1"/>
        <v>41.75875427124677</v>
      </c>
      <c r="M17" s="46"/>
      <c r="N17" s="46"/>
    </row>
    <row r="18" spans="1:14" ht="12.75" customHeight="1">
      <c r="A18" s="54">
        <v>13</v>
      </c>
      <c r="B18" s="57" t="s">
        <v>164</v>
      </c>
      <c r="C18" s="190">
        <f>'TABLE-1'!F18</f>
        <v>26</v>
      </c>
      <c r="D18" s="116">
        <v>8094</v>
      </c>
      <c r="E18" s="116">
        <v>17597</v>
      </c>
      <c r="F18" s="116">
        <v>48319</v>
      </c>
      <c r="G18" s="116">
        <v>2331</v>
      </c>
      <c r="H18" s="116">
        <v>5989</v>
      </c>
      <c r="I18" s="116">
        <v>21675</v>
      </c>
      <c r="J18" s="190">
        <f t="shared" si="0"/>
        <v>28.799110452186806</v>
      </c>
      <c r="K18" s="190">
        <f t="shared" si="2"/>
        <v>34.03421037676877</v>
      </c>
      <c r="L18" s="190">
        <f t="shared" si="1"/>
        <v>44.85813034210145</v>
      </c>
      <c r="M18" s="46"/>
      <c r="N18" s="46"/>
    </row>
    <row r="19" spans="1:14" ht="12.75" customHeight="1">
      <c r="A19" s="54">
        <v>14</v>
      </c>
      <c r="B19" s="57" t="s">
        <v>77</v>
      </c>
      <c r="C19" s="190">
        <f>'TABLE-1'!F19</f>
        <v>178</v>
      </c>
      <c r="D19" s="116">
        <v>54551</v>
      </c>
      <c r="E19" s="116">
        <v>131901</v>
      </c>
      <c r="F19" s="116">
        <v>379360</v>
      </c>
      <c r="G19" s="116">
        <v>47376</v>
      </c>
      <c r="H19" s="116">
        <v>52073</v>
      </c>
      <c r="I19" s="116">
        <v>240331</v>
      </c>
      <c r="J19" s="190">
        <f t="shared" si="0"/>
        <v>86.847170537662</v>
      </c>
      <c r="K19" s="190">
        <f t="shared" si="2"/>
        <v>39.478851562914606</v>
      </c>
      <c r="L19" s="190">
        <f t="shared" si="1"/>
        <v>63.35169759595107</v>
      </c>
      <c r="M19" s="46"/>
      <c r="N19" s="46"/>
    </row>
    <row r="20" spans="1:14" ht="12.75" customHeight="1">
      <c r="A20" s="54">
        <v>15</v>
      </c>
      <c r="B20" s="57" t="s">
        <v>105</v>
      </c>
      <c r="C20" s="190">
        <f>'TABLE-1'!F20</f>
        <v>49</v>
      </c>
      <c r="D20" s="116">
        <v>7643</v>
      </c>
      <c r="E20" s="116">
        <v>15548</v>
      </c>
      <c r="F20" s="116">
        <v>102049</v>
      </c>
      <c r="G20" s="116">
        <v>5665</v>
      </c>
      <c r="H20" s="116">
        <v>3429</v>
      </c>
      <c r="I20" s="116">
        <v>31251</v>
      </c>
      <c r="J20" s="190">
        <f t="shared" si="0"/>
        <v>74.12010990448776</v>
      </c>
      <c r="K20" s="190">
        <f t="shared" si="2"/>
        <v>22.054283509133008</v>
      </c>
      <c r="L20" s="190">
        <f t="shared" si="1"/>
        <v>30.623523993375727</v>
      </c>
      <c r="M20" s="46"/>
      <c r="N20" s="46"/>
    </row>
    <row r="21" spans="1:14" s="563" customFormat="1" ht="12.75" customHeight="1">
      <c r="A21" s="54">
        <v>16</v>
      </c>
      <c r="B21" s="57" t="s">
        <v>20</v>
      </c>
      <c r="C21" s="190">
        <f>'TABLE-1'!F21</f>
        <v>109</v>
      </c>
      <c r="D21" s="57">
        <v>29999</v>
      </c>
      <c r="E21" s="57">
        <v>37482</v>
      </c>
      <c r="F21" s="57">
        <v>260741</v>
      </c>
      <c r="G21" s="57">
        <v>28160</v>
      </c>
      <c r="H21" s="57">
        <v>21142</v>
      </c>
      <c r="I21" s="57">
        <v>170019</v>
      </c>
      <c r="J21" s="190">
        <f t="shared" si="0"/>
        <v>93.86979565985533</v>
      </c>
      <c r="K21" s="190">
        <f t="shared" si="2"/>
        <v>56.4057414225495</v>
      </c>
      <c r="L21" s="190">
        <f t="shared" si="1"/>
        <v>65.20608573258521</v>
      </c>
      <c r="M21" s="562"/>
      <c r="N21" s="562"/>
    </row>
    <row r="22" spans="1:14" ht="12.75" customHeight="1">
      <c r="A22" s="54">
        <v>17</v>
      </c>
      <c r="B22" s="57" t="s">
        <v>21</v>
      </c>
      <c r="C22" s="190">
        <f>'TABLE-1'!F22</f>
        <v>195</v>
      </c>
      <c r="D22" s="116">
        <v>147699</v>
      </c>
      <c r="E22" s="116">
        <v>205854</v>
      </c>
      <c r="F22" s="116">
        <v>392696</v>
      </c>
      <c r="G22" s="116">
        <v>48663</v>
      </c>
      <c r="H22" s="116">
        <v>45387</v>
      </c>
      <c r="I22" s="116">
        <v>142981</v>
      </c>
      <c r="J22" s="190">
        <f t="shared" si="0"/>
        <v>32.94741332033392</v>
      </c>
      <c r="K22" s="190">
        <f t="shared" si="2"/>
        <v>22.04815063102976</v>
      </c>
      <c r="L22" s="190">
        <f t="shared" si="1"/>
        <v>36.41009839672418</v>
      </c>
      <c r="M22" s="46"/>
      <c r="N22" s="46"/>
    </row>
    <row r="23" spans="1:14" ht="12.75" customHeight="1">
      <c r="A23" s="54">
        <v>18</v>
      </c>
      <c r="B23" s="57" t="s">
        <v>19</v>
      </c>
      <c r="C23" s="190">
        <f>'TABLE-1'!F23</f>
        <v>10</v>
      </c>
      <c r="D23" s="116">
        <v>0</v>
      </c>
      <c r="E23" s="116">
        <v>0</v>
      </c>
      <c r="F23" s="116">
        <v>9511</v>
      </c>
      <c r="G23" s="116">
        <v>0</v>
      </c>
      <c r="H23" s="116">
        <v>0</v>
      </c>
      <c r="I23" s="116">
        <v>8906</v>
      </c>
      <c r="J23" s="190">
        <v>0</v>
      </c>
      <c r="K23" s="190">
        <v>0</v>
      </c>
      <c r="L23" s="190">
        <f t="shared" si="1"/>
        <v>93.63894438019136</v>
      </c>
      <c r="M23" s="46"/>
      <c r="N23" s="46"/>
    </row>
    <row r="24" spans="1:14" ht="12.75" customHeight="1">
      <c r="A24" s="54">
        <v>19</v>
      </c>
      <c r="B24" s="57" t="s">
        <v>124</v>
      </c>
      <c r="C24" s="190">
        <f>'TABLE-1'!F24</f>
        <v>13</v>
      </c>
      <c r="D24" s="116">
        <v>0</v>
      </c>
      <c r="E24" s="116">
        <v>0</v>
      </c>
      <c r="F24" s="116">
        <v>29700</v>
      </c>
      <c r="G24" s="116">
        <v>0</v>
      </c>
      <c r="H24" s="116">
        <v>0</v>
      </c>
      <c r="I24" s="116">
        <v>12882</v>
      </c>
      <c r="J24" s="190">
        <v>0</v>
      </c>
      <c r="K24" s="190">
        <v>0</v>
      </c>
      <c r="L24" s="190">
        <f t="shared" si="1"/>
        <v>43.37373737373738</v>
      </c>
      <c r="M24" s="46"/>
      <c r="N24" s="46"/>
    </row>
    <row r="25" spans="1:14" s="35" customFormat="1" ht="12.75" customHeight="1">
      <c r="A25" s="187"/>
      <c r="B25" s="58" t="s">
        <v>224</v>
      </c>
      <c r="C25" s="249">
        <f aca="true" t="shared" si="3" ref="C25:I25">SUM(C6:C24)</f>
        <v>1777</v>
      </c>
      <c r="D25" s="121">
        <f t="shared" si="3"/>
        <v>736651</v>
      </c>
      <c r="E25" s="121">
        <f t="shared" si="3"/>
        <v>985278</v>
      </c>
      <c r="F25" s="121">
        <f t="shared" si="3"/>
        <v>3245432</v>
      </c>
      <c r="G25" s="121">
        <f t="shared" si="3"/>
        <v>557056</v>
      </c>
      <c r="H25" s="121">
        <f t="shared" si="3"/>
        <v>477612</v>
      </c>
      <c r="I25" s="121">
        <f t="shared" si="3"/>
        <v>1637684</v>
      </c>
      <c r="J25" s="249">
        <f>(G25/D25)*100</f>
        <v>75.62006974808966</v>
      </c>
      <c r="K25" s="249">
        <f>(H25/E25)*100</f>
        <v>48.47484669301456</v>
      </c>
      <c r="L25" s="249">
        <f>(I25/F25)*100</f>
        <v>50.46120208342063</v>
      </c>
      <c r="M25" s="34"/>
      <c r="N25" s="34"/>
    </row>
    <row r="26" spans="1:14" ht="12.75" customHeight="1">
      <c r="A26" s="54">
        <v>20</v>
      </c>
      <c r="B26" s="57" t="s">
        <v>23</v>
      </c>
      <c r="C26" s="190">
        <f>'TABLE-1'!F26</f>
        <v>4</v>
      </c>
      <c r="D26" s="116">
        <v>0</v>
      </c>
      <c r="E26" s="116">
        <v>0</v>
      </c>
      <c r="F26" s="116">
        <v>11016</v>
      </c>
      <c r="G26" s="116">
        <v>0</v>
      </c>
      <c r="H26" s="116">
        <v>0</v>
      </c>
      <c r="I26" s="116">
        <v>17797</v>
      </c>
      <c r="J26" s="190">
        <v>0</v>
      </c>
      <c r="K26" s="190">
        <v>0</v>
      </c>
      <c r="L26" s="190">
        <f aca="true" t="shared" si="4" ref="L26:L33">(I26/F26)*100</f>
        <v>161.5559186637618</v>
      </c>
      <c r="M26" s="46"/>
      <c r="N26" s="46"/>
    </row>
    <row r="27" spans="1:14" ht="12.75" customHeight="1">
      <c r="A27" s="54">
        <v>21</v>
      </c>
      <c r="B27" s="57" t="s">
        <v>269</v>
      </c>
      <c r="C27" s="190">
        <f>'TABLE-1'!F27</f>
        <v>2</v>
      </c>
      <c r="D27" s="116">
        <v>0</v>
      </c>
      <c r="E27" s="116">
        <v>0</v>
      </c>
      <c r="F27" s="116">
        <v>7808</v>
      </c>
      <c r="G27" s="116">
        <v>0</v>
      </c>
      <c r="H27" s="116">
        <v>0</v>
      </c>
      <c r="I27" s="116">
        <v>38993</v>
      </c>
      <c r="J27" s="190">
        <v>0</v>
      </c>
      <c r="K27" s="190">
        <v>0</v>
      </c>
      <c r="L27" s="190">
        <f t="shared" si="4"/>
        <v>499.3980532786885</v>
      </c>
      <c r="M27" s="46"/>
      <c r="N27" s="46"/>
    </row>
    <row r="28" spans="1:14" ht="12.75" customHeight="1">
      <c r="A28" s="54">
        <v>22</v>
      </c>
      <c r="B28" s="57" t="s">
        <v>169</v>
      </c>
      <c r="C28" s="190">
        <f>'TABLE-1'!F28</f>
        <v>6</v>
      </c>
      <c r="D28" s="116">
        <v>0</v>
      </c>
      <c r="E28" s="116">
        <v>0</v>
      </c>
      <c r="F28" s="116">
        <v>17468</v>
      </c>
      <c r="G28" s="116">
        <v>0</v>
      </c>
      <c r="H28" s="116">
        <v>0</v>
      </c>
      <c r="I28" s="116">
        <v>29348</v>
      </c>
      <c r="J28" s="190">
        <v>0</v>
      </c>
      <c r="K28" s="190">
        <v>0</v>
      </c>
      <c r="L28" s="190">
        <v>254</v>
      </c>
      <c r="M28" s="46"/>
      <c r="N28" s="46"/>
    </row>
    <row r="29" spans="1:14" ht="12.75" customHeight="1">
      <c r="A29" s="54">
        <v>23</v>
      </c>
      <c r="B29" s="57" t="s">
        <v>22</v>
      </c>
      <c r="C29" s="190">
        <f>'TABLE-1'!F29</f>
        <v>2</v>
      </c>
      <c r="D29" s="116">
        <v>0</v>
      </c>
      <c r="E29" s="116">
        <v>0</v>
      </c>
      <c r="F29" s="116">
        <v>16862</v>
      </c>
      <c r="G29" s="116">
        <v>0</v>
      </c>
      <c r="H29" s="116">
        <v>0</v>
      </c>
      <c r="I29" s="116">
        <v>87432</v>
      </c>
      <c r="J29" s="190">
        <v>0</v>
      </c>
      <c r="K29" s="190">
        <v>0</v>
      </c>
      <c r="L29" s="190">
        <f t="shared" si="4"/>
        <v>518.5150041513463</v>
      </c>
      <c r="M29" s="46"/>
      <c r="N29" s="46"/>
    </row>
    <row r="30" spans="1:14" s="563" customFormat="1" ht="12.75" customHeight="1">
      <c r="A30" s="54">
        <v>24</v>
      </c>
      <c r="B30" s="57" t="s">
        <v>141</v>
      </c>
      <c r="C30" s="190">
        <f>'TABLE-1'!F30</f>
        <v>8</v>
      </c>
      <c r="D30" s="57">
        <v>0</v>
      </c>
      <c r="E30" s="57">
        <v>5535</v>
      </c>
      <c r="F30" s="57">
        <v>25170</v>
      </c>
      <c r="G30" s="57">
        <v>0</v>
      </c>
      <c r="H30" s="57">
        <v>1366</v>
      </c>
      <c r="I30" s="57">
        <v>24561</v>
      </c>
      <c r="J30" s="190">
        <v>0</v>
      </c>
      <c r="K30" s="190">
        <f>(H30/E30)*100</f>
        <v>24.679313459801264</v>
      </c>
      <c r="L30" s="190">
        <f t="shared" si="4"/>
        <v>97.58045292014302</v>
      </c>
      <c r="M30" s="562"/>
      <c r="N30" s="562"/>
    </row>
    <row r="31" spans="1:14" ht="12.75" customHeight="1">
      <c r="A31" s="54">
        <v>25</v>
      </c>
      <c r="B31" s="57" t="s">
        <v>18</v>
      </c>
      <c r="C31" s="190">
        <f>'TABLE-1'!F31</f>
        <v>621</v>
      </c>
      <c r="D31" s="116">
        <v>222139</v>
      </c>
      <c r="E31" s="116">
        <v>685747</v>
      </c>
      <c r="F31" s="116">
        <v>1730551</v>
      </c>
      <c r="G31" s="116">
        <v>169946</v>
      </c>
      <c r="H31" s="116">
        <v>437833</v>
      </c>
      <c r="I31" s="116">
        <v>1227823</v>
      </c>
      <c r="J31" s="190">
        <f>(G31/D31)*100</f>
        <v>76.50435087940434</v>
      </c>
      <c r="K31" s="190">
        <f aca="true" t="shared" si="5" ref="K31:K46">(H31/E31)*100</f>
        <v>63.84759977076093</v>
      </c>
      <c r="L31" s="190">
        <f t="shared" si="4"/>
        <v>70.94983042973018</v>
      </c>
      <c r="M31" s="46"/>
      <c r="N31" s="46"/>
    </row>
    <row r="32" spans="1:14" ht="12.75" customHeight="1">
      <c r="A32" s="54">
        <v>26</v>
      </c>
      <c r="B32" s="57" t="s">
        <v>104</v>
      </c>
      <c r="C32" s="190">
        <f>'TABLE-1'!F32</f>
        <v>360</v>
      </c>
      <c r="D32" s="116">
        <v>106204</v>
      </c>
      <c r="E32" s="116">
        <v>433089</v>
      </c>
      <c r="F32" s="116">
        <v>1118073</v>
      </c>
      <c r="G32" s="116">
        <v>127503</v>
      </c>
      <c r="H32" s="116">
        <v>258061</v>
      </c>
      <c r="I32" s="116">
        <v>401902</v>
      </c>
      <c r="J32" s="190">
        <f>(G32/D32)*100</f>
        <v>120.05480019584948</v>
      </c>
      <c r="K32" s="190">
        <f t="shared" si="5"/>
        <v>59.58613587507418</v>
      </c>
      <c r="L32" s="190">
        <f t="shared" si="4"/>
        <v>35.94595343953391</v>
      </c>
      <c r="M32" s="46"/>
      <c r="N32" s="46"/>
    </row>
    <row r="33" spans="1:14" s="35" customFormat="1" ht="12.75" customHeight="1">
      <c r="A33" s="187"/>
      <c r="B33" s="58" t="s">
        <v>226</v>
      </c>
      <c r="C33" s="249">
        <f aca="true" t="shared" si="6" ref="C33:I33">SUM(C26:C32)</f>
        <v>1003</v>
      </c>
      <c r="D33" s="121">
        <f t="shared" si="6"/>
        <v>328343</v>
      </c>
      <c r="E33" s="121">
        <f t="shared" si="6"/>
        <v>1124371</v>
      </c>
      <c r="F33" s="121">
        <f t="shared" si="6"/>
        <v>2926948</v>
      </c>
      <c r="G33" s="121">
        <f t="shared" si="6"/>
        <v>297449</v>
      </c>
      <c r="H33" s="121">
        <f t="shared" si="6"/>
        <v>697260</v>
      </c>
      <c r="I33" s="121">
        <f t="shared" si="6"/>
        <v>1827856</v>
      </c>
      <c r="J33" s="249">
        <f>(G33/D33)*100</f>
        <v>90.59093691657809</v>
      </c>
      <c r="K33" s="249">
        <f t="shared" si="5"/>
        <v>62.01333901354624</v>
      </c>
      <c r="L33" s="249">
        <f t="shared" si="4"/>
        <v>62.44921331024671</v>
      </c>
      <c r="M33" s="34"/>
      <c r="N33" s="34"/>
    </row>
    <row r="34" spans="1:14" ht="12.75" customHeight="1">
      <c r="A34" s="54">
        <v>27</v>
      </c>
      <c r="B34" s="57" t="s">
        <v>163</v>
      </c>
      <c r="C34" s="190">
        <f>'TABLE-1'!F34</f>
        <v>22</v>
      </c>
      <c r="D34" s="116">
        <v>0</v>
      </c>
      <c r="E34" s="116">
        <v>8180</v>
      </c>
      <c r="F34" s="116">
        <v>74168</v>
      </c>
      <c r="G34" s="116">
        <v>0</v>
      </c>
      <c r="H34" s="116">
        <v>1990</v>
      </c>
      <c r="I34" s="116">
        <v>8844</v>
      </c>
      <c r="J34" s="190">
        <v>0</v>
      </c>
      <c r="K34" s="190">
        <f t="shared" si="5"/>
        <v>24.327628361858192</v>
      </c>
      <c r="L34" s="190">
        <f aca="true" t="shared" si="7" ref="L34:L46">(I34/F34)*100</f>
        <v>11.924280012943587</v>
      </c>
      <c r="M34" s="46"/>
      <c r="N34" s="46"/>
    </row>
    <row r="35" spans="1:14" s="563" customFormat="1" ht="12.75" customHeight="1">
      <c r="A35" s="54">
        <v>28</v>
      </c>
      <c r="B35" s="57" t="s">
        <v>231</v>
      </c>
      <c r="C35" s="190">
        <f>'TABLE-1'!F35</f>
        <v>52</v>
      </c>
      <c r="D35" s="57">
        <v>370</v>
      </c>
      <c r="E35" s="57">
        <v>6414</v>
      </c>
      <c r="F35" s="57">
        <v>133349</v>
      </c>
      <c r="G35" s="57">
        <v>66</v>
      </c>
      <c r="H35" s="57">
        <v>8733</v>
      </c>
      <c r="I35" s="57">
        <v>201342</v>
      </c>
      <c r="J35" s="190">
        <f>(G35/D35)*100</f>
        <v>17.83783783783784</v>
      </c>
      <c r="K35" s="190">
        <f t="shared" si="5"/>
        <v>136.155285313377</v>
      </c>
      <c r="L35" s="190">
        <f t="shared" si="7"/>
        <v>150.98875882083854</v>
      </c>
      <c r="M35" s="562"/>
      <c r="N35" s="562"/>
    </row>
    <row r="36" spans="1:14" ht="12.75" customHeight="1">
      <c r="A36" s="54">
        <v>29</v>
      </c>
      <c r="B36" s="57" t="s">
        <v>218</v>
      </c>
      <c r="C36" s="190">
        <f>'TABLE-1'!F36</f>
        <v>56</v>
      </c>
      <c r="D36" s="116">
        <v>0</v>
      </c>
      <c r="E36" s="116">
        <v>5959</v>
      </c>
      <c r="F36" s="116">
        <v>115849</v>
      </c>
      <c r="G36" s="116">
        <v>0</v>
      </c>
      <c r="H36" s="116">
        <v>0</v>
      </c>
      <c r="I36" s="116">
        <v>318291</v>
      </c>
      <c r="J36" s="190">
        <v>0</v>
      </c>
      <c r="K36" s="190">
        <f t="shared" si="5"/>
        <v>0</v>
      </c>
      <c r="L36" s="190">
        <f t="shared" si="7"/>
        <v>274.74643717252627</v>
      </c>
      <c r="M36" s="46"/>
      <c r="N36" s="46"/>
    </row>
    <row r="37" spans="1:14" ht="12.75" customHeight="1">
      <c r="A37" s="54">
        <v>30</v>
      </c>
      <c r="B37" s="57" t="s">
        <v>236</v>
      </c>
      <c r="C37" s="190">
        <f>'TABLE-1'!F37</f>
        <v>29</v>
      </c>
      <c r="D37" s="116">
        <v>0</v>
      </c>
      <c r="E37" s="116">
        <v>2161</v>
      </c>
      <c r="F37" s="116">
        <v>277608</v>
      </c>
      <c r="G37" s="116">
        <v>0</v>
      </c>
      <c r="H37" s="116">
        <v>3431</v>
      </c>
      <c r="I37" s="116">
        <v>129792</v>
      </c>
      <c r="J37" s="190">
        <v>0</v>
      </c>
      <c r="K37" s="190">
        <f t="shared" si="5"/>
        <v>158.76908838500694</v>
      </c>
      <c r="L37" s="190">
        <f t="shared" si="7"/>
        <v>46.75369585890897</v>
      </c>
      <c r="M37" s="46"/>
      <c r="N37" s="46"/>
    </row>
    <row r="38" spans="1:14" s="563" customFormat="1" ht="12.75" customHeight="1">
      <c r="A38" s="54">
        <v>31</v>
      </c>
      <c r="B38" s="57" t="s">
        <v>219</v>
      </c>
      <c r="C38" s="190">
        <f>'TABLE-1'!F38</f>
        <v>5</v>
      </c>
      <c r="D38" s="57">
        <v>0</v>
      </c>
      <c r="E38" s="57">
        <v>0</v>
      </c>
      <c r="F38" s="57">
        <v>48321</v>
      </c>
      <c r="G38" s="57">
        <v>0</v>
      </c>
      <c r="H38" s="57">
        <v>0</v>
      </c>
      <c r="I38" s="57">
        <v>30019</v>
      </c>
      <c r="J38" s="190">
        <v>0</v>
      </c>
      <c r="K38" s="190">
        <v>0</v>
      </c>
      <c r="L38" s="190">
        <f t="shared" si="7"/>
        <v>62.12412822582314</v>
      </c>
      <c r="M38" s="562"/>
      <c r="N38" s="562"/>
    </row>
    <row r="39" spans="1:14" ht="12.75" customHeight="1">
      <c r="A39" s="54">
        <v>32</v>
      </c>
      <c r="B39" s="57" t="s">
        <v>254</v>
      </c>
      <c r="C39" s="190">
        <f>'TABLE-1'!F39</f>
        <v>2</v>
      </c>
      <c r="D39" s="116">
        <v>0</v>
      </c>
      <c r="E39" s="116">
        <v>0</v>
      </c>
      <c r="F39" s="116">
        <v>3114</v>
      </c>
      <c r="G39" s="116">
        <v>0</v>
      </c>
      <c r="H39" s="116">
        <v>0</v>
      </c>
      <c r="I39" s="116">
        <v>4347</v>
      </c>
      <c r="J39" s="190">
        <v>0</v>
      </c>
      <c r="K39" s="190">
        <v>0</v>
      </c>
      <c r="L39" s="190">
        <f t="shared" si="7"/>
        <v>139.59537572254334</v>
      </c>
      <c r="M39" s="46"/>
      <c r="N39" s="46"/>
    </row>
    <row r="40" spans="1:14" ht="12.75" customHeight="1">
      <c r="A40" s="110">
        <v>33</v>
      </c>
      <c r="B40" s="113" t="s">
        <v>363</v>
      </c>
      <c r="C40" s="190">
        <f>'TABLE-1'!F40</f>
        <v>3</v>
      </c>
      <c r="D40" s="116">
        <v>0</v>
      </c>
      <c r="E40" s="116">
        <v>0</v>
      </c>
      <c r="F40" s="116">
        <v>2163</v>
      </c>
      <c r="G40" s="116">
        <v>0</v>
      </c>
      <c r="H40" s="116">
        <v>0</v>
      </c>
      <c r="I40" s="116">
        <v>5006</v>
      </c>
      <c r="J40" s="190">
        <v>0</v>
      </c>
      <c r="K40" s="190">
        <v>0</v>
      </c>
      <c r="L40" s="190">
        <f>(I40/F40)*100</f>
        <v>231.43781784558485</v>
      </c>
      <c r="M40" s="46"/>
      <c r="N40" s="46"/>
    </row>
    <row r="41" spans="1:14" s="563" customFormat="1" ht="12.75" customHeight="1">
      <c r="A41" s="54">
        <v>34</v>
      </c>
      <c r="B41" s="57" t="s">
        <v>242</v>
      </c>
      <c r="C41" s="190">
        <f>'TABLE-1'!F41</f>
        <v>1</v>
      </c>
      <c r="D41" s="57">
        <v>0</v>
      </c>
      <c r="E41" s="57">
        <v>0</v>
      </c>
      <c r="F41" s="57">
        <v>2275</v>
      </c>
      <c r="G41" s="57">
        <v>0</v>
      </c>
      <c r="H41" s="57">
        <v>0</v>
      </c>
      <c r="I41" s="57">
        <v>869</v>
      </c>
      <c r="J41" s="190">
        <v>0</v>
      </c>
      <c r="K41" s="190">
        <v>0</v>
      </c>
      <c r="L41" s="190">
        <f t="shared" si="7"/>
        <v>38.1978021978022</v>
      </c>
      <c r="M41" s="562"/>
      <c r="N41" s="562"/>
    </row>
    <row r="42" spans="1:14" ht="12.75" customHeight="1">
      <c r="A42" s="54">
        <v>35</v>
      </c>
      <c r="B42" s="51" t="s">
        <v>256</v>
      </c>
      <c r="C42" s="190">
        <f>'TABLE-1'!F42</f>
        <v>3</v>
      </c>
      <c r="D42" s="116">
        <v>0</v>
      </c>
      <c r="E42" s="116">
        <v>0</v>
      </c>
      <c r="F42" s="116">
        <v>14606</v>
      </c>
      <c r="G42" s="116">
        <v>0</v>
      </c>
      <c r="H42" s="116">
        <v>0</v>
      </c>
      <c r="I42" s="116">
        <v>8795</v>
      </c>
      <c r="J42" s="190">
        <v>0</v>
      </c>
      <c r="K42" s="190">
        <v>0</v>
      </c>
      <c r="L42" s="190">
        <f t="shared" si="7"/>
        <v>60.21498014514584</v>
      </c>
      <c r="M42" s="46"/>
      <c r="N42" s="46"/>
    </row>
    <row r="43" spans="1:14" ht="12.75" customHeight="1">
      <c r="A43" s="54">
        <v>36</v>
      </c>
      <c r="B43" s="51" t="s">
        <v>24</v>
      </c>
      <c r="C43" s="190">
        <f>'TABLE-1'!F43</f>
        <v>2</v>
      </c>
      <c r="D43" s="116">
        <v>0</v>
      </c>
      <c r="E43" s="116">
        <v>0</v>
      </c>
      <c r="F43" s="116">
        <v>21692</v>
      </c>
      <c r="G43" s="116">
        <v>0</v>
      </c>
      <c r="H43" s="116">
        <v>0</v>
      </c>
      <c r="I43" s="116">
        <v>4737</v>
      </c>
      <c r="J43" s="190">
        <v>0</v>
      </c>
      <c r="K43" s="190">
        <v>0</v>
      </c>
      <c r="L43" s="190">
        <f t="shared" si="7"/>
        <v>21.837543794947443</v>
      </c>
      <c r="M43" s="46"/>
      <c r="N43" s="46"/>
    </row>
    <row r="44" spans="1:14" ht="12.75" customHeight="1">
      <c r="A44" s="54">
        <v>37</v>
      </c>
      <c r="B44" s="51" t="s">
        <v>223</v>
      </c>
      <c r="C44" s="190">
        <f>'TABLE-1'!F44</f>
        <v>1</v>
      </c>
      <c r="D44" s="116">
        <v>0</v>
      </c>
      <c r="E44" s="116">
        <v>0</v>
      </c>
      <c r="F44" s="116">
        <v>4699</v>
      </c>
      <c r="G44" s="116">
        <v>0</v>
      </c>
      <c r="H44" s="116">
        <v>0</v>
      </c>
      <c r="I44" s="116">
        <v>5982</v>
      </c>
      <c r="J44" s="190">
        <v>0</v>
      </c>
      <c r="K44" s="190">
        <v>0</v>
      </c>
      <c r="L44" s="190">
        <f t="shared" si="7"/>
        <v>127.3036816343903</v>
      </c>
      <c r="M44" s="46"/>
      <c r="N44" s="46"/>
    </row>
    <row r="45" spans="1:14" ht="12.75" customHeight="1">
      <c r="A45" s="54">
        <v>38</v>
      </c>
      <c r="B45" s="51" t="s">
        <v>364</v>
      </c>
      <c r="C45" s="190">
        <f>'TABLE-1'!F45</f>
        <v>2</v>
      </c>
      <c r="D45" s="116">
        <v>0</v>
      </c>
      <c r="E45" s="116">
        <v>0</v>
      </c>
      <c r="F45" s="116">
        <v>4206</v>
      </c>
      <c r="G45" s="116">
        <v>0</v>
      </c>
      <c r="H45" s="116">
        <v>0</v>
      </c>
      <c r="I45" s="116">
        <v>677</v>
      </c>
      <c r="J45" s="190">
        <v>0</v>
      </c>
      <c r="K45" s="190">
        <v>0</v>
      </c>
      <c r="L45" s="190">
        <f t="shared" si="7"/>
        <v>16.096053257251544</v>
      </c>
      <c r="M45" s="46"/>
      <c r="N45" s="46"/>
    </row>
    <row r="46" spans="1:14" ht="12.75" customHeight="1">
      <c r="A46" s="54">
        <v>39</v>
      </c>
      <c r="B46" s="57" t="s">
        <v>365</v>
      </c>
      <c r="C46" s="190">
        <f>'TABLE-1'!F46</f>
        <v>36</v>
      </c>
      <c r="D46" s="116">
        <v>834</v>
      </c>
      <c r="E46" s="116">
        <v>5353</v>
      </c>
      <c r="F46" s="116">
        <v>150752</v>
      </c>
      <c r="G46" s="116">
        <v>20</v>
      </c>
      <c r="H46" s="116">
        <v>331</v>
      </c>
      <c r="I46" s="116">
        <v>100747</v>
      </c>
      <c r="J46" s="190">
        <f>(G46/D46)*100</f>
        <v>2.3980815347721824</v>
      </c>
      <c r="K46" s="190">
        <f t="shared" si="5"/>
        <v>6.183448533532598</v>
      </c>
      <c r="L46" s="190">
        <f t="shared" si="7"/>
        <v>66.82962746762895</v>
      </c>
      <c r="M46" s="46"/>
      <c r="N46" s="46"/>
    </row>
    <row r="47" spans="1:14" ht="12.75" customHeight="1">
      <c r="A47" s="54"/>
      <c r="B47" s="58" t="s">
        <v>225</v>
      </c>
      <c r="C47" s="249">
        <f>SUM(C34:C46)</f>
        <v>214</v>
      </c>
      <c r="D47" s="121">
        <f aca="true" t="shared" si="8" ref="D47:I47">SUM(D34:D46)</f>
        <v>1204</v>
      </c>
      <c r="E47" s="121">
        <f t="shared" si="8"/>
        <v>28067</v>
      </c>
      <c r="F47" s="121">
        <f t="shared" si="8"/>
        <v>852802</v>
      </c>
      <c r="G47" s="121">
        <f t="shared" si="8"/>
        <v>86</v>
      </c>
      <c r="H47" s="121">
        <f t="shared" si="8"/>
        <v>14485</v>
      </c>
      <c r="I47" s="121">
        <f t="shared" si="8"/>
        <v>819448</v>
      </c>
      <c r="J47" s="249">
        <f>(G47/D47)*100</f>
        <v>7.142857142857142</v>
      </c>
      <c r="K47" s="249">
        <f>(H47/E47)*100</f>
        <v>51.60865072861367</v>
      </c>
      <c r="L47" s="249">
        <f>(I47/F47)*100</f>
        <v>96.08889284968843</v>
      </c>
      <c r="M47" s="46"/>
      <c r="N47" s="46"/>
    </row>
    <row r="48" spans="1:14" ht="12.75" customHeight="1">
      <c r="A48" s="54"/>
      <c r="B48" s="187" t="s">
        <v>123</v>
      </c>
      <c r="C48" s="249">
        <f aca="true" t="shared" si="9" ref="C48:I48">C25+C33+C47</f>
        <v>2994</v>
      </c>
      <c r="D48" s="121">
        <f t="shared" si="9"/>
        <v>1066198</v>
      </c>
      <c r="E48" s="121">
        <f t="shared" si="9"/>
        <v>2137716</v>
      </c>
      <c r="F48" s="121">
        <f t="shared" si="9"/>
        <v>7025182</v>
      </c>
      <c r="G48" s="121">
        <f t="shared" si="9"/>
        <v>854591</v>
      </c>
      <c r="H48" s="121">
        <f t="shared" si="9"/>
        <v>1189357</v>
      </c>
      <c r="I48" s="121">
        <f t="shared" si="9"/>
        <v>4284988</v>
      </c>
      <c r="J48" s="249">
        <f>(G48/D48)*100</f>
        <v>80.15312352865041</v>
      </c>
      <c r="K48" s="249">
        <f>(H48/E48)*100</f>
        <v>55.63681050242408</v>
      </c>
      <c r="L48" s="249">
        <f>(I48/F48)*100</f>
        <v>60.99469024432393</v>
      </c>
      <c r="M48" s="46"/>
      <c r="N48" s="46"/>
    </row>
    <row r="49" spans="1:13" ht="12.75" customHeight="1">
      <c r="A49" s="61"/>
      <c r="B49" s="61"/>
      <c r="C49" s="250"/>
      <c r="D49" s="277"/>
      <c r="E49" s="277"/>
      <c r="F49" s="277"/>
      <c r="G49" s="277"/>
      <c r="H49" s="277"/>
      <c r="I49" s="148"/>
      <c r="J49" s="191"/>
      <c r="K49" s="191"/>
      <c r="L49" s="191"/>
      <c r="M49" s="46"/>
    </row>
    <row r="50" spans="1:13" ht="14.25">
      <c r="A50" s="66"/>
      <c r="B50" s="66"/>
      <c r="C50" s="191"/>
      <c r="D50" s="277"/>
      <c r="E50" s="277"/>
      <c r="F50" s="277"/>
      <c r="G50" s="277"/>
      <c r="H50" s="148"/>
      <c r="I50" s="148"/>
      <c r="J50" s="191"/>
      <c r="K50" s="250"/>
      <c r="L50" s="250"/>
      <c r="M50" s="46"/>
    </row>
    <row r="51" spans="1:13" ht="14.25">
      <c r="A51" s="66"/>
      <c r="B51" s="66"/>
      <c r="C51" s="191"/>
      <c r="D51" s="277"/>
      <c r="E51" s="277"/>
      <c r="F51" s="277"/>
      <c r="G51" s="277"/>
      <c r="H51" s="148"/>
      <c r="I51" s="148"/>
      <c r="J51" s="191"/>
      <c r="K51" s="250"/>
      <c r="L51" s="250"/>
      <c r="M51" s="46"/>
    </row>
    <row r="52" spans="1:13" ht="19.5" customHeight="1">
      <c r="A52" s="202"/>
      <c r="B52" s="202"/>
      <c r="C52" s="255"/>
      <c r="D52" s="353" t="s">
        <v>42</v>
      </c>
      <c r="E52" s="354"/>
      <c r="F52" s="508"/>
      <c r="G52" s="353" t="s">
        <v>43</v>
      </c>
      <c r="H52" s="354"/>
      <c r="I52" s="508"/>
      <c r="J52" s="253" t="s">
        <v>44</v>
      </c>
      <c r="K52" s="529"/>
      <c r="L52" s="254"/>
      <c r="M52" s="46"/>
    </row>
    <row r="53" spans="1:13" ht="14.25">
      <c r="A53" s="186" t="s">
        <v>273</v>
      </c>
      <c r="B53" s="186" t="s">
        <v>5</v>
      </c>
      <c r="C53" s="256" t="s">
        <v>40</v>
      </c>
      <c r="D53" s="358" t="s">
        <v>0</v>
      </c>
      <c r="E53" s="358" t="s">
        <v>41</v>
      </c>
      <c r="F53" s="358" t="s">
        <v>2</v>
      </c>
      <c r="G53" s="358" t="s">
        <v>0</v>
      </c>
      <c r="H53" s="358" t="s">
        <v>41</v>
      </c>
      <c r="I53" s="358" t="s">
        <v>2</v>
      </c>
      <c r="J53" s="252" t="s">
        <v>0</v>
      </c>
      <c r="K53" s="252" t="s">
        <v>41</v>
      </c>
      <c r="L53" s="252" t="s">
        <v>2</v>
      </c>
      <c r="M53" s="46"/>
    </row>
    <row r="54" spans="1:14" ht="14.25">
      <c r="A54" s="54">
        <v>40</v>
      </c>
      <c r="B54" s="57" t="s">
        <v>78</v>
      </c>
      <c r="C54" s="190">
        <f>'TABLE-1'!F55</f>
        <v>80</v>
      </c>
      <c r="D54" s="116">
        <v>29117</v>
      </c>
      <c r="E54" s="116">
        <v>28310</v>
      </c>
      <c r="F54" s="116">
        <v>0</v>
      </c>
      <c r="G54" s="116">
        <v>16196</v>
      </c>
      <c r="H54" s="116">
        <v>9615</v>
      </c>
      <c r="I54" s="116">
        <v>0</v>
      </c>
      <c r="J54" s="190">
        <f aca="true" t="shared" si="10" ref="J54:J61">(G54/D54)*100</f>
        <v>55.623862348456235</v>
      </c>
      <c r="K54" s="190">
        <f aca="true" t="shared" si="11" ref="K54:K61">(H54/E54)*100</f>
        <v>33.963263864358886</v>
      </c>
      <c r="L54" s="190">
        <v>0</v>
      </c>
      <c r="M54" s="46"/>
      <c r="N54" s="46"/>
    </row>
    <row r="55" spans="1:14" ht="14.25">
      <c r="A55" s="54">
        <v>41</v>
      </c>
      <c r="B55" s="57" t="s">
        <v>278</v>
      </c>
      <c r="C55" s="190">
        <f>'TABLE-1'!F56</f>
        <v>213</v>
      </c>
      <c r="D55" s="116">
        <v>66069</v>
      </c>
      <c r="E55" s="116">
        <v>50348</v>
      </c>
      <c r="F55" s="116">
        <v>37017</v>
      </c>
      <c r="G55" s="116">
        <v>57174</v>
      </c>
      <c r="H55" s="116">
        <v>27621</v>
      </c>
      <c r="I55" s="116">
        <v>14006</v>
      </c>
      <c r="J55" s="190">
        <f t="shared" si="10"/>
        <v>86.53680243381919</v>
      </c>
      <c r="K55" s="190">
        <f t="shared" si="11"/>
        <v>54.86017319456582</v>
      </c>
      <c r="L55" s="190">
        <f aca="true" t="shared" si="12" ref="L55:L61">(I55/F55)*100</f>
        <v>37.83666963827431</v>
      </c>
      <c r="M55" s="46"/>
      <c r="N55" s="46"/>
    </row>
    <row r="56" spans="1:14" ht="14.25">
      <c r="A56" s="54">
        <v>42</v>
      </c>
      <c r="B56" s="57" t="s">
        <v>30</v>
      </c>
      <c r="C56" s="190">
        <f>'TABLE-1'!F57</f>
        <v>43</v>
      </c>
      <c r="D56" s="116">
        <v>7292</v>
      </c>
      <c r="E56" s="116">
        <v>9160</v>
      </c>
      <c r="F56" s="116">
        <v>4921</v>
      </c>
      <c r="G56" s="116">
        <v>3107</v>
      </c>
      <c r="H56" s="116">
        <v>3432</v>
      </c>
      <c r="I56" s="116">
        <v>1025</v>
      </c>
      <c r="J56" s="190">
        <f t="shared" si="10"/>
        <v>42.60833790455293</v>
      </c>
      <c r="K56" s="190">
        <f t="shared" si="11"/>
        <v>37.46724890829694</v>
      </c>
      <c r="L56" s="190">
        <f t="shared" si="12"/>
        <v>20.829099776468198</v>
      </c>
      <c r="M56" s="46"/>
      <c r="N56" s="46"/>
    </row>
    <row r="57" spans="1:14" ht="14.25">
      <c r="A57" s="54">
        <v>43</v>
      </c>
      <c r="B57" s="57" t="s">
        <v>234</v>
      </c>
      <c r="C57" s="190">
        <f>'TABLE-1'!F58</f>
        <v>211</v>
      </c>
      <c r="D57" s="116">
        <v>66278</v>
      </c>
      <c r="E57" s="116">
        <v>74674</v>
      </c>
      <c r="F57" s="116">
        <v>30465</v>
      </c>
      <c r="G57" s="116">
        <v>64128</v>
      </c>
      <c r="H57" s="116">
        <v>39885</v>
      </c>
      <c r="I57" s="116">
        <v>12640</v>
      </c>
      <c r="J57" s="190">
        <f t="shared" si="10"/>
        <v>96.75608799299918</v>
      </c>
      <c r="K57" s="190">
        <f t="shared" si="11"/>
        <v>53.4121648766639</v>
      </c>
      <c r="L57" s="190">
        <f t="shared" si="12"/>
        <v>41.490234695552275</v>
      </c>
      <c r="M57" s="46"/>
      <c r="N57" s="46"/>
    </row>
    <row r="58" spans="1:14" ht="14.25">
      <c r="A58" s="54">
        <v>44</v>
      </c>
      <c r="B58" s="57" t="s">
        <v>29</v>
      </c>
      <c r="C58" s="190">
        <f>'TABLE-1'!F59</f>
        <v>100</v>
      </c>
      <c r="D58" s="116">
        <v>58012</v>
      </c>
      <c r="E58" s="116">
        <v>9195</v>
      </c>
      <c r="F58" s="116">
        <v>20967</v>
      </c>
      <c r="G58" s="116">
        <v>14476</v>
      </c>
      <c r="H58" s="116">
        <v>2242</v>
      </c>
      <c r="I58" s="116">
        <v>3844</v>
      </c>
      <c r="J58" s="190">
        <f t="shared" si="10"/>
        <v>24.953457905260983</v>
      </c>
      <c r="K58" s="190">
        <f t="shared" si="11"/>
        <v>24.382816748232734</v>
      </c>
      <c r="L58" s="190">
        <f t="shared" si="12"/>
        <v>18.333571803309965</v>
      </c>
      <c r="M58" s="46"/>
      <c r="N58" s="46"/>
    </row>
    <row r="59" spans="1:14" ht="14.25">
      <c r="A59" s="54">
        <v>45</v>
      </c>
      <c r="B59" s="57" t="s">
        <v>391</v>
      </c>
      <c r="C59" s="190">
        <f>'TABLE-1'!F60</f>
        <v>347</v>
      </c>
      <c r="D59" s="116">
        <v>108730</v>
      </c>
      <c r="E59" s="116">
        <v>112434</v>
      </c>
      <c r="F59" s="116">
        <v>35946</v>
      </c>
      <c r="G59" s="116">
        <v>82582</v>
      </c>
      <c r="H59" s="116">
        <v>56165</v>
      </c>
      <c r="I59" s="116">
        <v>11868</v>
      </c>
      <c r="J59" s="190">
        <f t="shared" si="10"/>
        <v>75.95143934516693</v>
      </c>
      <c r="K59" s="190">
        <f t="shared" si="11"/>
        <v>49.95375064482274</v>
      </c>
      <c r="L59" s="190">
        <f t="shared" si="12"/>
        <v>33.01619095309631</v>
      </c>
      <c r="M59" s="46"/>
      <c r="N59" s="46"/>
    </row>
    <row r="60" spans="1:14" ht="14.25">
      <c r="A60" s="54">
        <v>46</v>
      </c>
      <c r="B60" s="57" t="s">
        <v>25</v>
      </c>
      <c r="C60" s="190">
        <f>'TABLE-1'!F61</f>
        <v>63</v>
      </c>
      <c r="D60" s="116">
        <v>31767</v>
      </c>
      <c r="E60" s="116">
        <v>18206</v>
      </c>
      <c r="F60" s="116">
        <v>0</v>
      </c>
      <c r="G60" s="116">
        <v>13024</v>
      </c>
      <c r="H60" s="116">
        <v>3880</v>
      </c>
      <c r="I60" s="116">
        <v>0</v>
      </c>
      <c r="J60" s="190">
        <f t="shared" si="10"/>
        <v>40.998520477224794</v>
      </c>
      <c r="K60" s="190">
        <f t="shared" si="11"/>
        <v>21.31165549818741</v>
      </c>
      <c r="L60" s="190">
        <v>0</v>
      </c>
      <c r="M60" s="46"/>
      <c r="N60" s="46"/>
    </row>
    <row r="61" spans="1:14" ht="14.25">
      <c r="A61" s="54">
        <v>47</v>
      </c>
      <c r="B61" s="57" t="s">
        <v>28</v>
      </c>
      <c r="C61" s="190">
        <f>'TABLE-1'!F62</f>
        <v>25</v>
      </c>
      <c r="D61" s="116">
        <v>4306</v>
      </c>
      <c r="E61" s="116">
        <v>18308</v>
      </c>
      <c r="F61" s="116">
        <v>8047</v>
      </c>
      <c r="G61" s="116">
        <v>4969</v>
      </c>
      <c r="H61" s="116">
        <v>9545</v>
      </c>
      <c r="I61" s="116">
        <v>1222</v>
      </c>
      <c r="J61" s="190">
        <f t="shared" si="10"/>
        <v>115.39712029725963</v>
      </c>
      <c r="K61" s="190">
        <f t="shared" si="11"/>
        <v>52.13567839195979</v>
      </c>
      <c r="L61" s="190">
        <f t="shared" si="12"/>
        <v>15.18578352180937</v>
      </c>
      <c r="M61" s="46"/>
      <c r="N61" s="46"/>
    </row>
    <row r="62" spans="1:14" ht="14.25">
      <c r="A62" s="54"/>
      <c r="B62" s="187" t="s">
        <v>123</v>
      </c>
      <c r="C62" s="249">
        <f aca="true" t="shared" si="13" ref="C62:I62">SUM(C54:C61)</f>
        <v>1082</v>
      </c>
      <c r="D62" s="121">
        <f t="shared" si="13"/>
        <v>371571</v>
      </c>
      <c r="E62" s="121">
        <f t="shared" si="13"/>
        <v>320635</v>
      </c>
      <c r="F62" s="121">
        <f t="shared" si="13"/>
        <v>137363</v>
      </c>
      <c r="G62" s="121">
        <f t="shared" si="13"/>
        <v>255656</v>
      </c>
      <c r="H62" s="121">
        <f t="shared" si="13"/>
        <v>152385</v>
      </c>
      <c r="I62" s="121">
        <f t="shared" si="13"/>
        <v>44605</v>
      </c>
      <c r="J62" s="249">
        <f>(G62/D62)*100</f>
        <v>68.8040778209279</v>
      </c>
      <c r="K62" s="249">
        <f>(H62/E62)*100</f>
        <v>47.526003087622996</v>
      </c>
      <c r="L62" s="249">
        <f>(I62/F62)*100</f>
        <v>32.472354272984724</v>
      </c>
      <c r="M62" s="46"/>
      <c r="N62" s="46"/>
    </row>
    <row r="63" spans="1:14" ht="14.25">
      <c r="A63" s="54"/>
      <c r="B63" s="57"/>
      <c r="C63" s="190"/>
      <c r="D63" s="116"/>
      <c r="E63" s="116"/>
      <c r="F63" s="116"/>
      <c r="G63" s="116"/>
      <c r="H63" s="116"/>
      <c r="I63" s="116"/>
      <c r="J63" s="190"/>
      <c r="K63" s="190"/>
      <c r="L63" s="190"/>
      <c r="M63" s="46"/>
      <c r="N63" s="46"/>
    </row>
    <row r="64" spans="1:14" ht="14.25">
      <c r="A64" s="54">
        <v>48</v>
      </c>
      <c r="B64" s="57" t="s">
        <v>34</v>
      </c>
      <c r="C64" s="190">
        <f>'TABLE-1'!F65</f>
        <v>855</v>
      </c>
      <c r="D64" s="116">
        <v>627406</v>
      </c>
      <c r="E64" s="116">
        <v>301717</v>
      </c>
      <c r="F64" s="116">
        <v>1E-08</v>
      </c>
      <c r="G64" s="116">
        <v>485420</v>
      </c>
      <c r="H64" s="116">
        <v>54193</v>
      </c>
      <c r="I64" s="116">
        <v>0</v>
      </c>
      <c r="J64" s="190">
        <f aca="true" t="shared" si="14" ref="J64:L66">(G64/D64)*100</f>
        <v>77.36935891591729</v>
      </c>
      <c r="K64" s="190">
        <f t="shared" si="14"/>
        <v>17.961533489992277</v>
      </c>
      <c r="L64" s="190">
        <v>0</v>
      </c>
      <c r="M64" s="46"/>
      <c r="N64" s="46"/>
    </row>
    <row r="65" spans="1:14" ht="14.25">
      <c r="A65" s="54">
        <v>49</v>
      </c>
      <c r="B65" s="57" t="s">
        <v>130</v>
      </c>
      <c r="C65" s="190">
        <f>'TABLE-1'!F66</f>
        <v>359</v>
      </c>
      <c r="D65" s="116">
        <v>5796</v>
      </c>
      <c r="E65" s="116">
        <v>6585</v>
      </c>
      <c r="F65" s="116">
        <v>0</v>
      </c>
      <c r="G65" s="116">
        <v>119869</v>
      </c>
      <c r="H65" s="116">
        <v>0</v>
      </c>
      <c r="I65" s="116">
        <v>0</v>
      </c>
      <c r="J65" s="190">
        <f t="shared" si="14"/>
        <v>2068.1331953071085</v>
      </c>
      <c r="K65" s="190">
        <f t="shared" si="14"/>
        <v>0</v>
      </c>
      <c r="L65" s="190">
        <v>0</v>
      </c>
      <c r="M65" s="46"/>
      <c r="N65" s="46"/>
    </row>
    <row r="66" spans="1:14" ht="14.25">
      <c r="A66" s="54"/>
      <c r="B66" s="187" t="s">
        <v>123</v>
      </c>
      <c r="C66" s="249">
        <f aca="true" t="shared" si="15" ref="C66:I66">SUM(C64:C65)</f>
        <v>1214</v>
      </c>
      <c r="D66" s="121">
        <f t="shared" si="15"/>
        <v>633202</v>
      </c>
      <c r="E66" s="121">
        <f t="shared" si="15"/>
        <v>308302</v>
      </c>
      <c r="F66" s="121">
        <f t="shared" si="15"/>
        <v>1E-08</v>
      </c>
      <c r="G66" s="121">
        <f t="shared" si="15"/>
        <v>605289</v>
      </c>
      <c r="H66" s="121">
        <f t="shared" si="15"/>
        <v>54193</v>
      </c>
      <c r="I66" s="121">
        <f t="shared" si="15"/>
        <v>0</v>
      </c>
      <c r="J66" s="249">
        <f t="shared" si="14"/>
        <v>95.59177008284875</v>
      </c>
      <c r="K66" s="249">
        <f t="shared" si="14"/>
        <v>17.57789440224196</v>
      </c>
      <c r="L66" s="190">
        <f t="shared" si="14"/>
        <v>0</v>
      </c>
      <c r="M66" s="46"/>
      <c r="N66" s="46"/>
    </row>
    <row r="67" spans="1:14" ht="14.25">
      <c r="A67" s="50"/>
      <c r="B67" s="52"/>
      <c r="C67" s="249"/>
      <c r="D67" s="121"/>
      <c r="E67" s="121"/>
      <c r="F67" s="121"/>
      <c r="G67" s="121"/>
      <c r="H67" s="121"/>
      <c r="I67" s="121"/>
      <c r="J67" s="249"/>
      <c r="K67" s="249"/>
      <c r="L67" s="249"/>
      <c r="M67" s="46"/>
      <c r="N67" s="46"/>
    </row>
    <row r="68" spans="1:14" ht="14.25">
      <c r="A68" s="50"/>
      <c r="B68" s="52" t="s">
        <v>35</v>
      </c>
      <c r="C68" s="249">
        <f aca="true" t="shared" si="16" ref="C68:I68">C48+C62+C66</f>
        <v>5290</v>
      </c>
      <c r="D68" s="121">
        <f t="shared" si="16"/>
        <v>2070971</v>
      </c>
      <c r="E68" s="121">
        <f t="shared" si="16"/>
        <v>2766653</v>
      </c>
      <c r="F68" s="121">
        <f t="shared" si="16"/>
        <v>7162545.00000001</v>
      </c>
      <c r="G68" s="121">
        <f t="shared" si="16"/>
        <v>1715536</v>
      </c>
      <c r="H68" s="121">
        <f t="shared" si="16"/>
        <v>1395935</v>
      </c>
      <c r="I68" s="121">
        <f t="shared" si="16"/>
        <v>4329593</v>
      </c>
      <c r="J68" s="249">
        <f>(G68/D68)*100</f>
        <v>82.8372777793605</v>
      </c>
      <c r="K68" s="249">
        <f>(H68/E68)*100</f>
        <v>50.4557311668648</v>
      </c>
      <c r="L68" s="249">
        <f>(I68/F68)*100</f>
        <v>60.447690031964804</v>
      </c>
      <c r="M68" s="46"/>
      <c r="N68" s="46"/>
    </row>
    <row r="70" ht="14.25">
      <c r="C70" s="525">
        <v>2</v>
      </c>
    </row>
  </sheetData>
  <sheetProtection/>
  <printOptions gridLines="1" horizontalCentered="1"/>
  <pageMargins left="0.49" right="0.7480314960629921" top="0.57" bottom="0.24" header="0.3" footer="0.21"/>
  <pageSetup blackAndWhite="1" horizontalDpi="300" verticalDpi="300" orientation="landscape" paperSize="9" scale="82" r:id="rId2"/>
  <rowBreaks count="1" manualBreakCount="1">
    <brk id="4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E1">
      <selection activeCell="N72" sqref="N72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10.57421875" style="6" customWidth="1"/>
    <col min="4" max="4" width="10.00390625" style="6" customWidth="1"/>
    <col min="5" max="5" width="10.140625" style="6" customWidth="1"/>
    <col min="6" max="6" width="9.421875" style="6" customWidth="1"/>
    <col min="7" max="7" width="10.00390625" style="6" customWidth="1"/>
    <col min="8" max="9" width="9.421875" style="6" customWidth="1"/>
    <col min="10" max="10" width="11.421875" style="6" customWidth="1"/>
    <col min="11" max="11" width="10.421875" style="127" customWidth="1"/>
    <col min="12" max="12" width="9.421875" style="127" customWidth="1"/>
    <col min="13" max="13" width="9.57421875" style="99" customWidth="1"/>
    <col min="14" max="14" width="12.57421875" style="99" customWidth="1"/>
    <col min="15" max="15" width="5.57421875" style="6" hidden="1" customWidth="1"/>
    <col min="16" max="16" width="5.57421875" style="6" customWidth="1"/>
    <col min="17" max="17" width="9.57421875" style="0" customWidth="1"/>
    <col min="18" max="18" width="9.140625" style="7" customWidth="1"/>
    <col min="20" max="20" width="11.57421875" style="0" customWidth="1"/>
  </cols>
  <sheetData>
    <row r="1" spans="1:19" ht="15.75" customHeight="1">
      <c r="A1" s="27"/>
      <c r="B1" s="35"/>
      <c r="C1" s="96"/>
      <c r="D1" s="96"/>
      <c r="E1" s="96"/>
      <c r="F1" s="96"/>
      <c r="G1" s="96"/>
      <c r="H1" s="96"/>
      <c r="I1" s="96"/>
      <c r="J1" s="96"/>
      <c r="K1" s="504"/>
      <c r="L1" s="504"/>
      <c r="M1" s="251"/>
      <c r="N1" s="251"/>
      <c r="O1" s="3"/>
      <c r="P1" s="3"/>
      <c r="Q1" s="1"/>
      <c r="R1" s="9"/>
      <c r="S1" s="1"/>
    </row>
    <row r="2" spans="1:14" ht="15.75" customHeight="1">
      <c r="A2" s="27"/>
      <c r="B2" s="27"/>
      <c r="C2" s="78"/>
      <c r="D2" s="78"/>
      <c r="E2" s="78"/>
      <c r="F2" s="78"/>
      <c r="G2" s="78"/>
      <c r="H2" s="78"/>
      <c r="I2" s="78"/>
      <c r="J2" s="78"/>
      <c r="K2" s="277"/>
      <c r="L2" s="148"/>
      <c r="M2" s="191"/>
      <c r="N2" s="191"/>
    </row>
    <row r="3" spans="1:20" ht="15.75" customHeight="1">
      <c r="A3" s="31"/>
      <c r="B3" s="31"/>
      <c r="C3" s="78"/>
      <c r="D3" s="78"/>
      <c r="E3" s="78"/>
      <c r="F3" s="78"/>
      <c r="G3" s="78"/>
      <c r="H3" s="78"/>
      <c r="I3" s="78"/>
      <c r="J3" s="78"/>
      <c r="K3" s="148"/>
      <c r="L3" s="148"/>
      <c r="M3" s="191"/>
      <c r="N3" s="191"/>
      <c r="O3" s="8"/>
      <c r="P3" s="8"/>
      <c r="R3" s="8"/>
      <c r="S3" s="2"/>
      <c r="T3" s="2"/>
    </row>
    <row r="4" spans="1:20" ht="13.5" customHeight="1">
      <c r="A4" s="202" t="s">
        <v>4</v>
      </c>
      <c r="B4" s="202" t="s">
        <v>5</v>
      </c>
      <c r="C4" s="659" t="s">
        <v>424</v>
      </c>
      <c r="D4" s="660"/>
      <c r="E4" s="659" t="s">
        <v>244</v>
      </c>
      <c r="F4" s="660"/>
      <c r="G4" s="659" t="s">
        <v>355</v>
      </c>
      <c r="H4" s="660"/>
      <c r="I4" s="633" t="s">
        <v>385</v>
      </c>
      <c r="J4" s="635"/>
      <c r="K4" s="633" t="s">
        <v>423</v>
      </c>
      <c r="L4" s="635"/>
      <c r="M4" s="665" t="s">
        <v>3</v>
      </c>
      <c r="N4" s="666"/>
      <c r="O4" s="207"/>
      <c r="P4" s="13"/>
      <c r="Q4" s="12"/>
      <c r="R4" s="8"/>
      <c r="S4" s="12"/>
      <c r="T4" s="12"/>
    </row>
    <row r="5" spans="1:20" ht="12.75">
      <c r="A5" s="186"/>
      <c r="B5" s="186" t="s">
        <v>36</v>
      </c>
      <c r="C5" s="143" t="s">
        <v>57</v>
      </c>
      <c r="D5" s="143" t="s">
        <v>63</v>
      </c>
      <c r="E5" s="143" t="s">
        <v>57</v>
      </c>
      <c r="F5" s="143" t="s">
        <v>63</v>
      </c>
      <c r="G5" s="143" t="s">
        <v>57</v>
      </c>
      <c r="H5" s="143" t="s">
        <v>63</v>
      </c>
      <c r="I5" s="323" t="s">
        <v>57</v>
      </c>
      <c r="J5" s="323" t="s">
        <v>63</v>
      </c>
      <c r="K5" s="323" t="s">
        <v>57</v>
      </c>
      <c r="L5" s="323" t="s">
        <v>63</v>
      </c>
      <c r="M5" s="266" t="s">
        <v>57</v>
      </c>
      <c r="N5" s="266" t="s">
        <v>63</v>
      </c>
      <c r="O5" s="208"/>
      <c r="P5" s="14"/>
      <c r="Q5" s="11"/>
      <c r="R5" s="8"/>
      <c r="S5" s="2"/>
      <c r="T5" s="2"/>
    </row>
    <row r="6" spans="1:20" s="103" customFormat="1" ht="12.75">
      <c r="A6" s="54">
        <v>1</v>
      </c>
      <c r="B6" s="57" t="s">
        <v>7</v>
      </c>
      <c r="C6" s="145">
        <f>4034+9611</f>
        <v>13645</v>
      </c>
      <c r="D6" s="145">
        <f>1552+931</f>
        <v>2483</v>
      </c>
      <c r="E6" s="145">
        <v>2064</v>
      </c>
      <c r="F6" s="145">
        <v>802</v>
      </c>
      <c r="G6" s="57">
        <v>1664</v>
      </c>
      <c r="H6" s="57">
        <v>796</v>
      </c>
      <c r="I6" s="126">
        <v>2187</v>
      </c>
      <c r="J6" s="126">
        <v>806</v>
      </c>
      <c r="K6" s="126">
        <v>129</v>
      </c>
      <c r="L6" s="126">
        <v>64</v>
      </c>
      <c r="M6" s="190">
        <f aca="true" t="shared" si="0" ref="M6:M24">K6+C6+E6+G6+I6</f>
        <v>19689</v>
      </c>
      <c r="N6" s="190">
        <f aca="true" t="shared" si="1" ref="N6:N24">L6+D6+F6+H6+J6</f>
        <v>4951</v>
      </c>
      <c r="O6" s="19">
        <v>0</v>
      </c>
      <c r="P6" s="19"/>
      <c r="Q6" s="104"/>
      <c r="R6" s="20"/>
      <c r="S6" s="105"/>
      <c r="T6" s="105"/>
    </row>
    <row r="7" spans="1:19" s="103" customFormat="1" ht="12.75">
      <c r="A7" s="54">
        <v>2</v>
      </c>
      <c r="B7" s="57" t="s">
        <v>8</v>
      </c>
      <c r="C7" s="145">
        <f>50+126</f>
        <v>176</v>
      </c>
      <c r="D7" s="145">
        <f>70+16</f>
        <v>86</v>
      </c>
      <c r="E7" s="145">
        <v>60</v>
      </c>
      <c r="F7" s="145">
        <v>41</v>
      </c>
      <c r="G7" s="57">
        <v>101</v>
      </c>
      <c r="H7" s="57">
        <v>62</v>
      </c>
      <c r="I7" s="126">
        <v>82</v>
      </c>
      <c r="J7" s="126">
        <v>64</v>
      </c>
      <c r="K7" s="126">
        <v>0</v>
      </c>
      <c r="L7" s="126">
        <v>0</v>
      </c>
      <c r="M7" s="190">
        <f t="shared" si="0"/>
        <v>419</v>
      </c>
      <c r="N7" s="190">
        <f t="shared" si="1"/>
        <v>253</v>
      </c>
      <c r="O7" s="19">
        <v>0</v>
      </c>
      <c r="P7" s="19"/>
      <c r="Q7" s="106"/>
      <c r="R7" s="107"/>
      <c r="S7" s="108"/>
    </row>
    <row r="8" spans="1:20" s="103" customFormat="1" ht="12.75">
      <c r="A8" s="54">
        <v>3</v>
      </c>
      <c r="B8" s="57" t="s">
        <v>9</v>
      </c>
      <c r="C8" s="145">
        <f>7460+548</f>
        <v>8008</v>
      </c>
      <c r="D8" s="145">
        <f>46+1247</f>
        <v>1293</v>
      </c>
      <c r="E8" s="145">
        <v>874</v>
      </c>
      <c r="F8" s="145">
        <v>679</v>
      </c>
      <c r="G8" s="57">
        <v>7438</v>
      </c>
      <c r="H8" s="57">
        <v>1012</v>
      </c>
      <c r="I8" s="126">
        <v>199</v>
      </c>
      <c r="J8" s="126">
        <v>2940</v>
      </c>
      <c r="K8" s="126">
        <v>0</v>
      </c>
      <c r="L8" s="126">
        <v>0</v>
      </c>
      <c r="M8" s="190">
        <f t="shared" si="0"/>
        <v>16519</v>
      </c>
      <c r="N8" s="190">
        <f t="shared" si="1"/>
        <v>5924</v>
      </c>
      <c r="O8" s="19">
        <v>0</v>
      </c>
      <c r="P8" s="19"/>
      <c r="Q8" s="19"/>
      <c r="R8" s="19"/>
      <c r="T8" s="19"/>
    </row>
    <row r="9" spans="1:20" ht="12.75">
      <c r="A9" s="54">
        <v>4</v>
      </c>
      <c r="B9" s="57" t="s">
        <v>10</v>
      </c>
      <c r="C9" s="145">
        <f>22844+8337</f>
        <v>31181</v>
      </c>
      <c r="D9" s="145">
        <f>17917+1811</f>
        <v>19728</v>
      </c>
      <c r="E9" s="145">
        <v>15991</v>
      </c>
      <c r="F9" s="145">
        <v>1827</v>
      </c>
      <c r="G9" s="57">
        <v>7225</v>
      </c>
      <c r="H9" s="57">
        <v>1603</v>
      </c>
      <c r="I9" s="126">
        <v>8583</v>
      </c>
      <c r="J9" s="126">
        <v>3987</v>
      </c>
      <c r="K9" s="126">
        <v>1995</v>
      </c>
      <c r="L9" s="126">
        <v>575</v>
      </c>
      <c r="M9" s="190">
        <f t="shared" si="0"/>
        <v>64975</v>
      </c>
      <c r="N9" s="190">
        <f t="shared" si="1"/>
        <v>27720</v>
      </c>
      <c r="O9" s="19">
        <v>0</v>
      </c>
      <c r="P9" s="7"/>
      <c r="Q9" s="7"/>
      <c r="T9" s="7"/>
    </row>
    <row r="10" spans="1:20" ht="12.75">
      <c r="A10" s="54">
        <v>5</v>
      </c>
      <c r="B10" s="57" t="s">
        <v>11</v>
      </c>
      <c r="C10" s="145">
        <f>21700+1738</f>
        <v>23438</v>
      </c>
      <c r="D10" s="145">
        <f>1884+412</f>
        <v>2296</v>
      </c>
      <c r="E10" s="145">
        <v>1397</v>
      </c>
      <c r="F10" s="145">
        <v>1965</v>
      </c>
      <c r="G10" s="57">
        <v>1562</v>
      </c>
      <c r="H10" s="57">
        <v>1072</v>
      </c>
      <c r="I10" s="126">
        <v>2018</v>
      </c>
      <c r="J10" s="126">
        <v>1185</v>
      </c>
      <c r="K10" s="126">
        <v>338</v>
      </c>
      <c r="L10" s="126">
        <v>1029</v>
      </c>
      <c r="M10" s="190">
        <f t="shared" si="0"/>
        <v>28753</v>
      </c>
      <c r="N10" s="190">
        <f t="shared" si="1"/>
        <v>7547</v>
      </c>
      <c r="O10" s="19">
        <v>0</v>
      </c>
      <c r="P10" s="7"/>
      <c r="Q10" s="7"/>
      <c r="T10" s="7"/>
    </row>
    <row r="11" spans="1:20" ht="12.75">
      <c r="A11" s="54">
        <v>6</v>
      </c>
      <c r="B11" s="57" t="s">
        <v>12</v>
      </c>
      <c r="C11" s="145">
        <f>1382+299</f>
        <v>1681</v>
      </c>
      <c r="D11" s="145">
        <f>285+113</f>
        <v>398</v>
      </c>
      <c r="E11" s="145">
        <v>1740</v>
      </c>
      <c r="F11" s="145">
        <v>532</v>
      </c>
      <c r="G11" s="57">
        <v>842</v>
      </c>
      <c r="H11" s="57">
        <v>434</v>
      </c>
      <c r="I11" s="126">
        <v>738</v>
      </c>
      <c r="J11" s="126">
        <v>398</v>
      </c>
      <c r="K11" s="126">
        <v>170</v>
      </c>
      <c r="L11" s="126">
        <v>54</v>
      </c>
      <c r="M11" s="190">
        <f t="shared" si="0"/>
        <v>5171</v>
      </c>
      <c r="N11" s="190">
        <f t="shared" si="1"/>
        <v>1816</v>
      </c>
      <c r="O11" s="19"/>
      <c r="P11" s="7"/>
      <c r="Q11" s="7"/>
      <c r="T11" s="7"/>
    </row>
    <row r="12" spans="1:20" s="103" customFormat="1" ht="12.75">
      <c r="A12" s="54">
        <v>7</v>
      </c>
      <c r="B12" s="57" t="s">
        <v>13</v>
      </c>
      <c r="C12" s="145">
        <f>62609+7231</f>
        <v>69840</v>
      </c>
      <c r="D12" s="145">
        <f>11865+1964</f>
        <v>13829</v>
      </c>
      <c r="E12" s="145">
        <v>4055</v>
      </c>
      <c r="F12" s="145">
        <v>2312</v>
      </c>
      <c r="G12" s="57">
        <v>3759</v>
      </c>
      <c r="H12" s="57">
        <v>1904</v>
      </c>
      <c r="I12" s="126">
        <v>3232</v>
      </c>
      <c r="J12" s="126">
        <v>1338</v>
      </c>
      <c r="K12" s="126">
        <v>1585</v>
      </c>
      <c r="L12" s="126">
        <v>643</v>
      </c>
      <c r="M12" s="190">
        <f t="shared" si="0"/>
        <v>82471</v>
      </c>
      <c r="N12" s="190">
        <f t="shared" si="1"/>
        <v>20026</v>
      </c>
      <c r="O12" s="19"/>
      <c r="P12" s="19"/>
      <c r="Q12" s="19"/>
      <c r="R12" s="19"/>
      <c r="T12" s="19"/>
    </row>
    <row r="13" spans="1:20" s="103" customFormat="1" ht="12.75">
      <c r="A13" s="54">
        <v>8</v>
      </c>
      <c r="B13" s="57" t="s">
        <v>162</v>
      </c>
      <c r="C13" s="145">
        <v>1</v>
      </c>
      <c r="D13" s="145">
        <v>5</v>
      </c>
      <c r="E13" s="145">
        <v>1</v>
      </c>
      <c r="F13" s="145">
        <v>15</v>
      </c>
      <c r="G13" s="57">
        <v>0</v>
      </c>
      <c r="H13" s="57">
        <v>0</v>
      </c>
      <c r="I13" s="126">
        <v>165</v>
      </c>
      <c r="J13" s="126">
        <v>76</v>
      </c>
      <c r="K13" s="126">
        <v>0</v>
      </c>
      <c r="L13" s="126">
        <v>0</v>
      </c>
      <c r="M13" s="190">
        <f t="shared" si="0"/>
        <v>167</v>
      </c>
      <c r="N13" s="190">
        <f t="shared" si="1"/>
        <v>96</v>
      </c>
      <c r="O13" s="19"/>
      <c r="P13" s="19"/>
      <c r="Q13" s="19"/>
      <c r="R13" s="19"/>
      <c r="T13" s="19"/>
    </row>
    <row r="14" spans="1:20" ht="12.75">
      <c r="A14" s="54">
        <v>9</v>
      </c>
      <c r="B14" s="57" t="s">
        <v>14</v>
      </c>
      <c r="C14" s="145">
        <f>1356+59</f>
        <v>1415</v>
      </c>
      <c r="D14" s="145">
        <f>10152+768</f>
        <v>10920</v>
      </c>
      <c r="E14" s="145">
        <v>1472</v>
      </c>
      <c r="F14" s="145">
        <v>2917</v>
      </c>
      <c r="G14" s="57">
        <v>201</v>
      </c>
      <c r="H14" s="57">
        <v>809</v>
      </c>
      <c r="I14" s="126">
        <v>408</v>
      </c>
      <c r="J14" s="126">
        <v>6134</v>
      </c>
      <c r="K14" s="126">
        <v>0</v>
      </c>
      <c r="L14" s="126">
        <v>0</v>
      </c>
      <c r="M14" s="190">
        <f t="shared" si="0"/>
        <v>3496</v>
      </c>
      <c r="N14" s="190">
        <f t="shared" si="1"/>
        <v>20780</v>
      </c>
      <c r="O14" s="19"/>
      <c r="P14" s="7"/>
      <c r="Q14" s="7"/>
      <c r="T14" s="7"/>
    </row>
    <row r="15" spans="1:20" ht="12.75">
      <c r="A15" s="54">
        <v>10</v>
      </c>
      <c r="B15" s="57" t="s">
        <v>15</v>
      </c>
      <c r="C15" s="145">
        <f>1270+92</f>
        <v>1362</v>
      </c>
      <c r="D15" s="145">
        <f>175+16</f>
        <v>191</v>
      </c>
      <c r="E15" s="145">
        <v>342</v>
      </c>
      <c r="F15" s="145">
        <v>62</v>
      </c>
      <c r="G15" s="57">
        <v>180</v>
      </c>
      <c r="H15" s="57">
        <v>68</v>
      </c>
      <c r="I15" s="126">
        <v>21</v>
      </c>
      <c r="J15" s="126">
        <v>19</v>
      </c>
      <c r="K15" s="126">
        <v>89</v>
      </c>
      <c r="L15" s="126">
        <v>46</v>
      </c>
      <c r="M15" s="190">
        <f t="shared" si="0"/>
        <v>1994</v>
      </c>
      <c r="N15" s="190">
        <f t="shared" si="1"/>
        <v>386</v>
      </c>
      <c r="O15" s="19"/>
      <c r="P15" s="7"/>
      <c r="Q15" s="7"/>
      <c r="T15" s="7"/>
    </row>
    <row r="16" spans="1:20" ht="12.75">
      <c r="A16" s="54">
        <v>11</v>
      </c>
      <c r="B16" s="57" t="s">
        <v>16</v>
      </c>
      <c r="C16" s="145">
        <f>140+90</f>
        <v>230</v>
      </c>
      <c r="D16" s="145">
        <f>19+11</f>
        <v>30</v>
      </c>
      <c r="E16" s="145">
        <v>34</v>
      </c>
      <c r="F16" s="145">
        <v>57</v>
      </c>
      <c r="G16" s="57">
        <v>18</v>
      </c>
      <c r="H16" s="57">
        <v>13</v>
      </c>
      <c r="I16" s="126">
        <v>20</v>
      </c>
      <c r="J16" s="126">
        <v>13</v>
      </c>
      <c r="K16" s="126">
        <v>0</v>
      </c>
      <c r="L16" s="126">
        <v>0</v>
      </c>
      <c r="M16" s="190">
        <f t="shared" si="0"/>
        <v>302</v>
      </c>
      <c r="N16" s="190">
        <f t="shared" si="1"/>
        <v>113</v>
      </c>
      <c r="O16" s="19">
        <v>0</v>
      </c>
      <c r="P16" s="7"/>
      <c r="Q16" s="7"/>
      <c r="T16" s="7"/>
    </row>
    <row r="17" spans="1:20" ht="12.75">
      <c r="A17" s="54">
        <v>12</v>
      </c>
      <c r="B17" s="57" t="s">
        <v>17</v>
      </c>
      <c r="C17" s="145">
        <v>6635</v>
      </c>
      <c r="D17" s="145">
        <v>3064</v>
      </c>
      <c r="E17" s="145">
        <v>1650</v>
      </c>
      <c r="F17" s="145">
        <v>81</v>
      </c>
      <c r="G17" s="57">
        <v>1284</v>
      </c>
      <c r="H17" s="57">
        <v>344</v>
      </c>
      <c r="I17" s="126">
        <v>0</v>
      </c>
      <c r="J17" s="126">
        <v>0</v>
      </c>
      <c r="K17" s="126">
        <v>1</v>
      </c>
      <c r="L17" s="126">
        <v>189</v>
      </c>
      <c r="M17" s="190">
        <f t="shared" si="0"/>
        <v>9570</v>
      </c>
      <c r="N17" s="190">
        <f t="shared" si="1"/>
        <v>3678</v>
      </c>
      <c r="O17" s="19"/>
      <c r="P17" s="7"/>
      <c r="Q17" s="7"/>
      <c r="T17" s="7"/>
    </row>
    <row r="18" spans="1:20" ht="12.75">
      <c r="A18" s="54">
        <v>13</v>
      </c>
      <c r="B18" s="57" t="s">
        <v>164</v>
      </c>
      <c r="C18" s="145">
        <f>158+7</f>
        <v>165</v>
      </c>
      <c r="D18" s="145">
        <f>941+11</f>
        <v>952</v>
      </c>
      <c r="E18" s="145">
        <v>2348</v>
      </c>
      <c r="F18" s="145">
        <v>255</v>
      </c>
      <c r="G18" s="57">
        <v>0</v>
      </c>
      <c r="H18" s="57">
        <v>0</v>
      </c>
      <c r="I18" s="126">
        <v>0</v>
      </c>
      <c r="J18" s="126">
        <v>0</v>
      </c>
      <c r="K18" s="126">
        <v>0</v>
      </c>
      <c r="L18" s="126">
        <v>0</v>
      </c>
      <c r="M18" s="190">
        <f t="shared" si="0"/>
        <v>2513</v>
      </c>
      <c r="N18" s="190">
        <f t="shared" si="1"/>
        <v>1207</v>
      </c>
      <c r="O18" s="19"/>
      <c r="P18" s="7"/>
      <c r="Q18" s="7"/>
      <c r="T18" s="7"/>
    </row>
    <row r="19" spans="1:20" ht="12.75">
      <c r="A19" s="54">
        <v>14</v>
      </c>
      <c r="B19" s="57" t="s">
        <v>77</v>
      </c>
      <c r="C19" s="145">
        <f>9105+4130</f>
        <v>13235</v>
      </c>
      <c r="D19" s="145">
        <f>2623+1962</f>
        <v>4585</v>
      </c>
      <c r="E19" s="145">
        <v>6080</v>
      </c>
      <c r="F19" s="145">
        <v>3137</v>
      </c>
      <c r="G19" s="57">
        <v>2</v>
      </c>
      <c r="H19" s="57">
        <v>261</v>
      </c>
      <c r="I19" s="126">
        <v>1029</v>
      </c>
      <c r="J19" s="126">
        <v>2</v>
      </c>
      <c r="K19" s="126">
        <v>10726</v>
      </c>
      <c r="L19" s="126">
        <v>2355</v>
      </c>
      <c r="M19" s="190">
        <f t="shared" si="0"/>
        <v>31072</v>
      </c>
      <c r="N19" s="190">
        <f t="shared" si="1"/>
        <v>10340</v>
      </c>
      <c r="O19" s="19"/>
      <c r="P19" s="7"/>
      <c r="Q19" s="7"/>
      <c r="T19" s="7"/>
    </row>
    <row r="20" spans="1:20" ht="12.75">
      <c r="A20" s="54">
        <v>15</v>
      </c>
      <c r="B20" s="57" t="s">
        <v>105</v>
      </c>
      <c r="C20" s="145">
        <f>979+391</f>
        <v>1370</v>
      </c>
      <c r="D20" s="145">
        <f>112+70</f>
        <v>182</v>
      </c>
      <c r="E20" s="145">
        <v>0</v>
      </c>
      <c r="F20" s="145">
        <v>0</v>
      </c>
      <c r="G20" s="57">
        <v>341</v>
      </c>
      <c r="H20" s="57">
        <v>62</v>
      </c>
      <c r="I20" s="126">
        <v>381</v>
      </c>
      <c r="J20" s="126">
        <v>78</v>
      </c>
      <c r="K20" s="126">
        <v>0</v>
      </c>
      <c r="L20" s="126">
        <v>0</v>
      </c>
      <c r="M20" s="190">
        <f t="shared" si="0"/>
        <v>2092</v>
      </c>
      <c r="N20" s="190">
        <f t="shared" si="1"/>
        <v>322</v>
      </c>
      <c r="O20" s="19">
        <v>0</v>
      </c>
      <c r="P20" s="7"/>
      <c r="Q20" s="7"/>
      <c r="T20" s="7"/>
    </row>
    <row r="21" spans="1:20" s="103" customFormat="1" ht="12.75">
      <c r="A21" s="54">
        <v>16</v>
      </c>
      <c r="B21" s="57" t="s">
        <v>20</v>
      </c>
      <c r="C21" s="145">
        <f>13909+845</f>
        <v>14754</v>
      </c>
      <c r="D21" s="145">
        <f>3440+843</f>
        <v>4283</v>
      </c>
      <c r="E21" s="145">
        <v>3640</v>
      </c>
      <c r="F21" s="145">
        <v>1379</v>
      </c>
      <c r="G21" s="57">
        <v>652</v>
      </c>
      <c r="H21" s="57">
        <v>289</v>
      </c>
      <c r="I21" s="126">
        <v>1385</v>
      </c>
      <c r="J21" s="126">
        <v>366</v>
      </c>
      <c r="K21" s="126">
        <v>1032</v>
      </c>
      <c r="L21" s="126">
        <v>292</v>
      </c>
      <c r="M21" s="190">
        <f t="shared" si="0"/>
        <v>21463</v>
      </c>
      <c r="N21" s="190">
        <f t="shared" si="1"/>
        <v>6609</v>
      </c>
      <c r="O21" s="19">
        <v>0</v>
      </c>
      <c r="P21" s="19"/>
      <c r="Q21" s="19"/>
      <c r="R21" s="19"/>
      <c r="T21" s="19"/>
    </row>
    <row r="22" spans="1:20" ht="12.75">
      <c r="A22" s="54">
        <v>17</v>
      </c>
      <c r="B22" s="57" t="s">
        <v>21</v>
      </c>
      <c r="C22" s="145">
        <f>33695+46</f>
        <v>33741</v>
      </c>
      <c r="D22" s="145">
        <f>2588+5</f>
        <v>2593</v>
      </c>
      <c r="E22" s="145">
        <v>3448</v>
      </c>
      <c r="F22" s="145">
        <v>841</v>
      </c>
      <c r="G22" s="57">
        <v>2681</v>
      </c>
      <c r="H22" s="57">
        <v>278</v>
      </c>
      <c r="I22" s="126">
        <v>6780</v>
      </c>
      <c r="J22" s="126">
        <v>554</v>
      </c>
      <c r="K22" s="126">
        <v>1682</v>
      </c>
      <c r="L22" s="126">
        <v>182</v>
      </c>
      <c r="M22" s="190">
        <f t="shared" si="0"/>
        <v>48332</v>
      </c>
      <c r="N22" s="190">
        <f t="shared" si="1"/>
        <v>4448</v>
      </c>
      <c r="O22" s="19">
        <v>0</v>
      </c>
      <c r="P22" s="7"/>
      <c r="Q22" s="7"/>
      <c r="T22" s="7"/>
    </row>
    <row r="23" spans="1:20" ht="12.75">
      <c r="A23" s="54">
        <v>18</v>
      </c>
      <c r="B23" s="57" t="s">
        <v>19</v>
      </c>
      <c r="C23" s="145">
        <f>1686+18</f>
        <v>1704</v>
      </c>
      <c r="D23" s="145">
        <f>227+5</f>
        <v>232</v>
      </c>
      <c r="E23" s="145">
        <v>12</v>
      </c>
      <c r="F23" s="145">
        <v>2</v>
      </c>
      <c r="G23" s="57">
        <v>0</v>
      </c>
      <c r="H23" s="57">
        <v>0</v>
      </c>
      <c r="I23" s="126">
        <v>34</v>
      </c>
      <c r="J23" s="126">
        <v>52</v>
      </c>
      <c r="K23" s="126">
        <v>10</v>
      </c>
      <c r="L23" s="126">
        <v>7</v>
      </c>
      <c r="M23" s="190">
        <f t="shared" si="0"/>
        <v>1760</v>
      </c>
      <c r="N23" s="190">
        <f t="shared" si="1"/>
        <v>293</v>
      </c>
      <c r="O23" s="19"/>
      <c r="P23" s="7"/>
      <c r="Q23" s="7"/>
      <c r="T23" s="7"/>
    </row>
    <row r="24" spans="1:20" ht="12.75">
      <c r="A24" s="54">
        <v>19</v>
      </c>
      <c r="B24" s="57" t="s">
        <v>124</v>
      </c>
      <c r="C24" s="145">
        <v>0</v>
      </c>
      <c r="D24" s="145">
        <v>0</v>
      </c>
      <c r="E24" s="145">
        <v>0</v>
      </c>
      <c r="F24" s="145">
        <v>0</v>
      </c>
      <c r="G24" s="57">
        <v>0</v>
      </c>
      <c r="H24" s="57">
        <v>0</v>
      </c>
      <c r="I24" s="126">
        <v>2</v>
      </c>
      <c r="J24" s="126">
        <v>1</v>
      </c>
      <c r="K24" s="126">
        <v>4</v>
      </c>
      <c r="L24" s="126">
        <v>1</v>
      </c>
      <c r="M24" s="190">
        <f t="shared" si="0"/>
        <v>6</v>
      </c>
      <c r="N24" s="190">
        <f t="shared" si="1"/>
        <v>2</v>
      </c>
      <c r="O24" s="19">
        <v>0</v>
      </c>
      <c r="P24" s="7"/>
      <c r="Q24" s="7"/>
      <c r="T24" s="7"/>
    </row>
    <row r="25" spans="1:20" s="165" customFormat="1" ht="14.25">
      <c r="A25" s="203"/>
      <c r="B25" s="164" t="s">
        <v>224</v>
      </c>
      <c r="C25" s="164">
        <f aca="true" t="shared" si="2" ref="C25:N25">SUM(C6:C24)</f>
        <v>222581</v>
      </c>
      <c r="D25" s="164">
        <f t="shared" si="2"/>
        <v>67150</v>
      </c>
      <c r="E25" s="164">
        <f t="shared" si="2"/>
        <v>45208</v>
      </c>
      <c r="F25" s="164">
        <f t="shared" si="2"/>
        <v>16904</v>
      </c>
      <c r="G25" s="164">
        <f t="shared" si="2"/>
        <v>27950</v>
      </c>
      <c r="H25" s="164">
        <f t="shared" si="2"/>
        <v>9007</v>
      </c>
      <c r="I25" s="164">
        <f t="shared" si="2"/>
        <v>27264</v>
      </c>
      <c r="J25" s="164">
        <f t="shared" si="2"/>
        <v>18013</v>
      </c>
      <c r="K25" s="326">
        <f>SUM(K6:K24)</f>
        <v>17761</v>
      </c>
      <c r="L25" s="326">
        <f>SUM(L6:L24)</f>
        <v>5437</v>
      </c>
      <c r="M25" s="197">
        <f t="shared" si="2"/>
        <v>340764</v>
      </c>
      <c r="N25" s="197">
        <f t="shared" si="2"/>
        <v>116511</v>
      </c>
      <c r="O25" s="209"/>
      <c r="P25" s="166"/>
      <c r="Q25" s="166"/>
      <c r="R25" s="166"/>
      <c r="T25" s="166"/>
    </row>
    <row r="26" spans="1:20" ht="12.75">
      <c r="A26" s="54">
        <v>20</v>
      </c>
      <c r="B26" s="57" t="s">
        <v>23</v>
      </c>
      <c r="C26" s="145">
        <v>36</v>
      </c>
      <c r="D26" s="145">
        <v>14</v>
      </c>
      <c r="E26" s="57">
        <v>28</v>
      </c>
      <c r="F26" s="57">
        <v>9</v>
      </c>
      <c r="G26" s="126">
        <v>12</v>
      </c>
      <c r="H26" s="126">
        <v>4</v>
      </c>
      <c r="I26" s="126">
        <v>9</v>
      </c>
      <c r="J26" s="126">
        <v>11</v>
      </c>
      <c r="K26" s="126">
        <v>0</v>
      </c>
      <c r="L26" s="126">
        <v>0</v>
      </c>
      <c r="M26" s="190">
        <f aca="true" t="shared" si="3" ref="M26:N32">K26+C26+E26+G26+I26</f>
        <v>85</v>
      </c>
      <c r="N26" s="190">
        <f t="shared" si="3"/>
        <v>38</v>
      </c>
      <c r="O26" s="19"/>
      <c r="P26" s="7"/>
      <c r="Q26" s="7"/>
      <c r="T26" s="7"/>
    </row>
    <row r="27" spans="1:20" ht="12.75">
      <c r="A27" s="54">
        <v>21</v>
      </c>
      <c r="B27" s="57" t="s">
        <v>269</v>
      </c>
      <c r="C27" s="145">
        <f>14+31</f>
        <v>45</v>
      </c>
      <c r="D27" s="145">
        <f>15+1410</f>
        <v>1425</v>
      </c>
      <c r="E27" s="57">
        <v>0</v>
      </c>
      <c r="F27" s="57">
        <v>0</v>
      </c>
      <c r="G27" s="126">
        <v>3</v>
      </c>
      <c r="H27" s="126">
        <v>100</v>
      </c>
      <c r="I27" s="126">
        <v>0</v>
      </c>
      <c r="J27" s="126">
        <v>0</v>
      </c>
      <c r="K27" s="126">
        <v>0</v>
      </c>
      <c r="L27" s="126">
        <v>0</v>
      </c>
      <c r="M27" s="190">
        <f t="shared" si="3"/>
        <v>48</v>
      </c>
      <c r="N27" s="190">
        <f t="shared" si="3"/>
        <v>1525</v>
      </c>
      <c r="O27" s="19"/>
      <c r="P27" s="7"/>
      <c r="Q27" s="7"/>
      <c r="T27" s="7"/>
    </row>
    <row r="28" spans="1:20" ht="12.75">
      <c r="A28" s="54">
        <v>22</v>
      </c>
      <c r="B28" s="57" t="s">
        <v>169</v>
      </c>
      <c r="C28" s="145">
        <f>157+95</f>
        <v>252</v>
      </c>
      <c r="D28" s="145">
        <f>159+54</f>
        <v>213</v>
      </c>
      <c r="E28" s="57">
        <v>73</v>
      </c>
      <c r="F28" s="57">
        <v>32</v>
      </c>
      <c r="G28" s="126">
        <v>25</v>
      </c>
      <c r="H28" s="126">
        <v>11</v>
      </c>
      <c r="I28" s="126">
        <v>0</v>
      </c>
      <c r="J28" s="126">
        <v>0</v>
      </c>
      <c r="K28" s="126">
        <v>0</v>
      </c>
      <c r="L28" s="126">
        <v>0</v>
      </c>
      <c r="M28" s="190">
        <f t="shared" si="3"/>
        <v>350</v>
      </c>
      <c r="N28" s="190">
        <f t="shared" si="3"/>
        <v>256</v>
      </c>
      <c r="O28" s="19"/>
      <c r="P28" s="7"/>
      <c r="Q28" s="7"/>
      <c r="T28" s="7"/>
    </row>
    <row r="29" spans="1:20" ht="12.75">
      <c r="A29" s="54">
        <v>23</v>
      </c>
      <c r="B29" s="57" t="s">
        <v>22</v>
      </c>
      <c r="C29" s="145">
        <f>39+4</f>
        <v>43</v>
      </c>
      <c r="D29" s="145">
        <f>584+85</f>
        <v>669</v>
      </c>
      <c r="E29" s="57">
        <v>1</v>
      </c>
      <c r="F29" s="57">
        <v>1</v>
      </c>
      <c r="G29" s="126">
        <v>6</v>
      </c>
      <c r="H29" s="126">
        <v>87</v>
      </c>
      <c r="I29" s="126">
        <v>24</v>
      </c>
      <c r="J29" s="126">
        <v>32</v>
      </c>
      <c r="K29" s="126">
        <v>0</v>
      </c>
      <c r="L29" s="126">
        <v>0</v>
      </c>
      <c r="M29" s="190">
        <f t="shared" si="3"/>
        <v>74</v>
      </c>
      <c r="N29" s="190">
        <f t="shared" si="3"/>
        <v>789</v>
      </c>
      <c r="O29" s="19"/>
      <c r="P29" s="7"/>
      <c r="Q29" s="7"/>
      <c r="T29" s="7"/>
    </row>
    <row r="30" spans="1:20" s="103" customFormat="1" ht="12.75">
      <c r="A30" s="54">
        <v>24</v>
      </c>
      <c r="B30" s="57" t="s">
        <v>141</v>
      </c>
      <c r="C30" s="145">
        <v>168</v>
      </c>
      <c r="D30" s="145">
        <f>559+65</f>
        <v>624</v>
      </c>
      <c r="E30" s="57">
        <v>20</v>
      </c>
      <c r="F30" s="57">
        <v>392</v>
      </c>
      <c r="G30" s="126">
        <v>208</v>
      </c>
      <c r="H30" s="126">
        <v>91</v>
      </c>
      <c r="I30" s="126">
        <v>36</v>
      </c>
      <c r="J30" s="126">
        <v>17</v>
      </c>
      <c r="K30" s="126">
        <v>7</v>
      </c>
      <c r="L30" s="126">
        <v>1</v>
      </c>
      <c r="M30" s="190">
        <f t="shared" si="3"/>
        <v>439</v>
      </c>
      <c r="N30" s="190">
        <f t="shared" si="3"/>
        <v>1125</v>
      </c>
      <c r="O30" s="19">
        <v>164.7</v>
      </c>
      <c r="P30" s="19"/>
      <c r="Q30" s="20"/>
      <c r="R30" s="501"/>
      <c r="S30" s="105"/>
      <c r="T30" s="20"/>
    </row>
    <row r="31" spans="1:20" ht="12.75">
      <c r="A31" s="54">
        <v>25</v>
      </c>
      <c r="B31" s="57" t="s">
        <v>18</v>
      </c>
      <c r="C31" s="145">
        <f>107555+14671</f>
        <v>122226</v>
      </c>
      <c r="D31" s="145">
        <f>37712+7813</f>
        <v>45525</v>
      </c>
      <c r="E31" s="57">
        <v>16156</v>
      </c>
      <c r="F31" s="57">
        <v>16130</v>
      </c>
      <c r="G31" s="126">
        <v>10758</v>
      </c>
      <c r="H31" s="126">
        <v>20178</v>
      </c>
      <c r="I31" s="126">
        <v>13689</v>
      </c>
      <c r="J31" s="126">
        <v>6822</v>
      </c>
      <c r="K31" s="126">
        <v>6151</v>
      </c>
      <c r="L31" s="126">
        <v>2810</v>
      </c>
      <c r="M31" s="190">
        <f t="shared" si="3"/>
        <v>168980</v>
      </c>
      <c r="N31" s="190">
        <f t="shared" si="3"/>
        <v>91465</v>
      </c>
      <c r="O31" s="19">
        <v>0</v>
      </c>
      <c r="P31" s="7"/>
      <c r="Q31" s="7"/>
      <c r="T31" s="7"/>
    </row>
    <row r="32" spans="1:20" ht="12.75">
      <c r="A32" s="54">
        <v>26</v>
      </c>
      <c r="B32" s="57" t="s">
        <v>104</v>
      </c>
      <c r="C32" s="145">
        <f>16638+711</f>
        <v>17349</v>
      </c>
      <c r="D32" s="145">
        <f>9569+234</f>
        <v>9803</v>
      </c>
      <c r="E32" s="57">
        <v>8251</v>
      </c>
      <c r="F32" s="57">
        <v>5693</v>
      </c>
      <c r="G32" s="126">
        <v>2625</v>
      </c>
      <c r="H32" s="126">
        <v>885</v>
      </c>
      <c r="I32" s="126">
        <v>392</v>
      </c>
      <c r="J32" s="126">
        <v>10408</v>
      </c>
      <c r="K32" s="126">
        <v>438</v>
      </c>
      <c r="L32" s="126">
        <v>683</v>
      </c>
      <c r="M32" s="190">
        <f t="shared" si="3"/>
        <v>29055</v>
      </c>
      <c r="N32" s="190">
        <f t="shared" si="3"/>
        <v>27472</v>
      </c>
      <c r="O32" s="19">
        <v>0</v>
      </c>
      <c r="P32" s="7"/>
      <c r="Q32" s="7"/>
      <c r="T32" s="7"/>
    </row>
    <row r="33" spans="1:20" s="165" customFormat="1" ht="14.25">
      <c r="A33" s="203"/>
      <c r="B33" s="164" t="s">
        <v>226</v>
      </c>
      <c r="C33" s="164">
        <f aca="true" t="shared" si="4" ref="C33:N33">SUM(C26:C32)</f>
        <v>140119</v>
      </c>
      <c r="D33" s="164">
        <f t="shared" si="4"/>
        <v>58273</v>
      </c>
      <c r="E33" s="164">
        <f t="shared" si="4"/>
        <v>24529</v>
      </c>
      <c r="F33" s="164">
        <f t="shared" si="4"/>
        <v>22257</v>
      </c>
      <c r="G33" s="164">
        <f t="shared" si="4"/>
        <v>13637</v>
      </c>
      <c r="H33" s="164">
        <f t="shared" si="4"/>
        <v>21356</v>
      </c>
      <c r="I33" s="164">
        <f t="shared" si="4"/>
        <v>14150</v>
      </c>
      <c r="J33" s="164">
        <f t="shared" si="4"/>
        <v>17290</v>
      </c>
      <c r="K33" s="326">
        <f>SUM(K26:K32)</f>
        <v>6596</v>
      </c>
      <c r="L33" s="326">
        <f>SUM(L26:L32)</f>
        <v>3494</v>
      </c>
      <c r="M33" s="197">
        <f t="shared" si="4"/>
        <v>199031</v>
      </c>
      <c r="N33" s="197">
        <f t="shared" si="4"/>
        <v>122670</v>
      </c>
      <c r="O33" s="209"/>
      <c r="P33" s="166"/>
      <c r="Q33" s="166"/>
      <c r="R33" s="166"/>
      <c r="T33" s="166"/>
    </row>
    <row r="34" spans="1:20" ht="12.75">
      <c r="A34" s="54">
        <v>27</v>
      </c>
      <c r="B34" s="57" t="s">
        <v>163</v>
      </c>
      <c r="C34" s="145">
        <f>3986+1841</f>
        <v>5827</v>
      </c>
      <c r="D34" s="145">
        <f>674+438</f>
        <v>1112</v>
      </c>
      <c r="E34" s="145">
        <v>1801</v>
      </c>
      <c r="F34" s="145">
        <v>444</v>
      </c>
      <c r="G34" s="57">
        <v>1671</v>
      </c>
      <c r="H34" s="57">
        <v>434</v>
      </c>
      <c r="I34" s="126">
        <v>1519</v>
      </c>
      <c r="J34" s="126">
        <v>408</v>
      </c>
      <c r="K34" s="126">
        <v>1509</v>
      </c>
      <c r="L34" s="126">
        <v>426</v>
      </c>
      <c r="M34" s="190">
        <f aca="true" t="shared" si="5" ref="M34:M46">K34+C34+E34+G34+I34</f>
        <v>12327</v>
      </c>
      <c r="N34" s="190">
        <f aca="true" t="shared" si="6" ref="N34:N46">L34+D34+F34+H34+J34</f>
        <v>2824</v>
      </c>
      <c r="O34" s="19">
        <v>0</v>
      </c>
      <c r="P34" s="7"/>
      <c r="Q34" s="7"/>
      <c r="T34" s="7"/>
    </row>
    <row r="35" spans="1:20" s="103" customFormat="1" ht="12.75">
      <c r="A35" s="54">
        <v>28</v>
      </c>
      <c r="B35" s="57" t="s">
        <v>231</v>
      </c>
      <c r="C35" s="145">
        <v>0</v>
      </c>
      <c r="D35" s="145">
        <v>0</v>
      </c>
      <c r="E35" s="145">
        <v>0</v>
      </c>
      <c r="F35" s="145">
        <v>0</v>
      </c>
      <c r="G35" s="57">
        <v>0</v>
      </c>
      <c r="H35" s="57">
        <v>0</v>
      </c>
      <c r="I35" s="126">
        <v>0</v>
      </c>
      <c r="J35" s="126">
        <v>0</v>
      </c>
      <c r="K35" s="126">
        <v>0</v>
      </c>
      <c r="L35" s="126">
        <v>0</v>
      </c>
      <c r="M35" s="190">
        <f t="shared" si="5"/>
        <v>0</v>
      </c>
      <c r="N35" s="190">
        <f t="shared" si="6"/>
        <v>0</v>
      </c>
      <c r="O35" s="19">
        <v>0</v>
      </c>
      <c r="P35" s="19"/>
      <c r="Q35" s="19"/>
      <c r="R35" s="19"/>
      <c r="T35" s="19"/>
    </row>
    <row r="36" spans="1:20" ht="12.75">
      <c r="A36" s="54">
        <v>29</v>
      </c>
      <c r="B36" s="57" t="s">
        <v>218</v>
      </c>
      <c r="C36" s="145">
        <v>0</v>
      </c>
      <c r="D36" s="145">
        <v>0</v>
      </c>
      <c r="E36" s="145">
        <v>0</v>
      </c>
      <c r="F36" s="145">
        <v>0</v>
      </c>
      <c r="G36" s="57">
        <v>0</v>
      </c>
      <c r="H36" s="57">
        <v>0</v>
      </c>
      <c r="I36" s="126">
        <v>0</v>
      </c>
      <c r="J36" s="126">
        <v>0</v>
      </c>
      <c r="K36" s="126">
        <v>0</v>
      </c>
      <c r="L36" s="126">
        <v>0</v>
      </c>
      <c r="M36" s="190">
        <f t="shared" si="5"/>
        <v>0</v>
      </c>
      <c r="N36" s="190">
        <f t="shared" si="6"/>
        <v>0</v>
      </c>
      <c r="O36" s="19">
        <v>0</v>
      </c>
      <c r="P36" s="7"/>
      <c r="Q36" s="7"/>
      <c r="T36" s="7"/>
    </row>
    <row r="37" spans="1:20" ht="12.75">
      <c r="A37" s="54">
        <v>30</v>
      </c>
      <c r="B37" s="57" t="s">
        <v>236</v>
      </c>
      <c r="C37" s="145">
        <f>27+52</f>
        <v>79</v>
      </c>
      <c r="D37" s="145">
        <v>128</v>
      </c>
      <c r="E37" s="145">
        <v>1</v>
      </c>
      <c r="F37" s="145">
        <v>449</v>
      </c>
      <c r="G37" s="57">
        <v>0</v>
      </c>
      <c r="H37" s="57">
        <v>0</v>
      </c>
      <c r="I37" s="126">
        <v>0</v>
      </c>
      <c r="J37" s="126">
        <v>0</v>
      </c>
      <c r="K37" s="126">
        <v>142</v>
      </c>
      <c r="L37" s="126">
        <v>305</v>
      </c>
      <c r="M37" s="190">
        <f t="shared" si="5"/>
        <v>222</v>
      </c>
      <c r="N37" s="190">
        <f t="shared" si="6"/>
        <v>882</v>
      </c>
      <c r="O37" s="19"/>
      <c r="P37" s="7"/>
      <c r="Q37" s="7"/>
      <c r="T37" s="7"/>
    </row>
    <row r="38" spans="1:20" s="103" customFormat="1" ht="12.75">
      <c r="A38" s="54">
        <v>31</v>
      </c>
      <c r="B38" s="57" t="s">
        <v>219</v>
      </c>
      <c r="C38" s="145">
        <v>280</v>
      </c>
      <c r="D38" s="145">
        <v>81</v>
      </c>
      <c r="E38" s="145">
        <v>1</v>
      </c>
      <c r="F38" s="145">
        <v>29</v>
      </c>
      <c r="G38" s="57">
        <v>0</v>
      </c>
      <c r="H38" s="57">
        <v>0</v>
      </c>
      <c r="I38" s="126">
        <v>0</v>
      </c>
      <c r="J38" s="126">
        <v>0</v>
      </c>
      <c r="K38" s="126">
        <v>0</v>
      </c>
      <c r="L38" s="126">
        <v>0</v>
      </c>
      <c r="M38" s="190">
        <f t="shared" si="5"/>
        <v>281</v>
      </c>
      <c r="N38" s="190">
        <f t="shared" si="6"/>
        <v>110</v>
      </c>
      <c r="O38" s="19"/>
      <c r="P38" s="19"/>
      <c r="Q38" s="19"/>
      <c r="R38" s="19"/>
      <c r="T38" s="19"/>
    </row>
    <row r="39" spans="1:20" ht="12.75">
      <c r="A39" s="54">
        <v>32</v>
      </c>
      <c r="B39" s="57" t="s">
        <v>220</v>
      </c>
      <c r="C39" s="145">
        <v>0</v>
      </c>
      <c r="D39" s="145">
        <v>169</v>
      </c>
      <c r="E39" s="145">
        <v>0</v>
      </c>
      <c r="F39" s="145">
        <v>0</v>
      </c>
      <c r="G39" s="57">
        <v>0</v>
      </c>
      <c r="H39" s="57">
        <v>0</v>
      </c>
      <c r="I39" s="126">
        <v>0</v>
      </c>
      <c r="J39" s="126">
        <v>0</v>
      </c>
      <c r="K39" s="126">
        <v>0</v>
      </c>
      <c r="L39" s="126">
        <v>0</v>
      </c>
      <c r="M39" s="190">
        <f t="shared" si="5"/>
        <v>0</v>
      </c>
      <c r="N39" s="190">
        <f t="shared" si="6"/>
        <v>169</v>
      </c>
      <c r="O39" s="19"/>
      <c r="P39" s="7"/>
      <c r="Q39" s="7"/>
      <c r="T39" s="7"/>
    </row>
    <row r="40" spans="1:20" ht="12.75">
      <c r="A40" s="110">
        <v>33</v>
      </c>
      <c r="B40" s="113" t="s">
        <v>363</v>
      </c>
      <c r="C40" s="145">
        <v>0</v>
      </c>
      <c r="D40" s="145">
        <v>0</v>
      </c>
      <c r="E40" s="145">
        <v>0</v>
      </c>
      <c r="F40" s="145">
        <v>0</v>
      </c>
      <c r="G40" s="57">
        <v>0</v>
      </c>
      <c r="H40" s="57">
        <v>0</v>
      </c>
      <c r="I40" s="126">
        <v>0</v>
      </c>
      <c r="J40" s="126">
        <v>0</v>
      </c>
      <c r="K40" s="126">
        <v>0</v>
      </c>
      <c r="L40" s="126">
        <v>0</v>
      </c>
      <c r="M40" s="190">
        <f t="shared" si="5"/>
        <v>0</v>
      </c>
      <c r="N40" s="190">
        <f t="shared" si="6"/>
        <v>0</v>
      </c>
      <c r="O40" s="19"/>
      <c r="P40" s="7"/>
      <c r="Q40" s="7"/>
      <c r="T40" s="7"/>
    </row>
    <row r="41" spans="1:20" s="103" customFormat="1" ht="12.75">
      <c r="A41" s="54">
        <v>34</v>
      </c>
      <c r="B41" s="57" t="s">
        <v>242</v>
      </c>
      <c r="C41" s="145">
        <v>0</v>
      </c>
      <c r="D41" s="145">
        <v>0</v>
      </c>
      <c r="E41" s="145">
        <v>0</v>
      </c>
      <c r="F41" s="145">
        <v>0</v>
      </c>
      <c r="G41" s="57">
        <v>0</v>
      </c>
      <c r="H41" s="57">
        <v>0</v>
      </c>
      <c r="I41" s="126">
        <v>0</v>
      </c>
      <c r="J41" s="126">
        <v>0</v>
      </c>
      <c r="K41" s="126">
        <v>0</v>
      </c>
      <c r="L41" s="126">
        <v>0</v>
      </c>
      <c r="M41" s="190">
        <f t="shared" si="5"/>
        <v>0</v>
      </c>
      <c r="N41" s="190">
        <f t="shared" si="6"/>
        <v>0</v>
      </c>
      <c r="O41" s="19"/>
      <c r="P41" s="19"/>
      <c r="Q41" s="19"/>
      <c r="R41" s="19"/>
      <c r="T41" s="19"/>
    </row>
    <row r="42" spans="1:20" ht="12.75">
      <c r="A42" s="54">
        <v>35</v>
      </c>
      <c r="B42" s="51" t="s">
        <v>256</v>
      </c>
      <c r="C42" s="145">
        <v>0</v>
      </c>
      <c r="D42" s="145">
        <v>0</v>
      </c>
      <c r="E42" s="145">
        <v>0</v>
      </c>
      <c r="F42" s="145">
        <v>0</v>
      </c>
      <c r="G42" s="57">
        <v>4</v>
      </c>
      <c r="H42" s="57">
        <v>173</v>
      </c>
      <c r="I42" s="126">
        <v>12</v>
      </c>
      <c r="J42" s="126">
        <v>229</v>
      </c>
      <c r="K42" s="126">
        <v>0</v>
      </c>
      <c r="L42" s="126">
        <v>0</v>
      </c>
      <c r="M42" s="190">
        <f t="shared" si="5"/>
        <v>16</v>
      </c>
      <c r="N42" s="190">
        <f t="shared" si="6"/>
        <v>402</v>
      </c>
      <c r="O42" s="19">
        <v>0</v>
      </c>
      <c r="P42" s="7"/>
      <c r="Q42" s="7"/>
      <c r="T42" s="7"/>
    </row>
    <row r="43" spans="1:20" ht="12.75">
      <c r="A43" s="54">
        <v>36</v>
      </c>
      <c r="B43" s="51" t="s">
        <v>24</v>
      </c>
      <c r="C43" s="145">
        <v>5</v>
      </c>
      <c r="D43" s="145">
        <v>1</v>
      </c>
      <c r="E43" s="145">
        <v>1</v>
      </c>
      <c r="F43" s="145">
        <v>3</v>
      </c>
      <c r="G43" s="57">
        <v>2</v>
      </c>
      <c r="H43" s="57">
        <v>16</v>
      </c>
      <c r="I43" s="126">
        <v>0</v>
      </c>
      <c r="J43" s="126">
        <v>0</v>
      </c>
      <c r="K43" s="126">
        <v>0</v>
      </c>
      <c r="L43" s="126">
        <v>0</v>
      </c>
      <c r="M43" s="190">
        <f t="shared" si="5"/>
        <v>8</v>
      </c>
      <c r="N43" s="190">
        <f t="shared" si="6"/>
        <v>20</v>
      </c>
      <c r="O43" s="19">
        <v>64.48</v>
      </c>
      <c r="P43" s="7"/>
      <c r="Q43" s="7"/>
      <c r="T43" s="7"/>
    </row>
    <row r="44" spans="1:20" ht="12.75">
      <c r="A44" s="54">
        <v>37</v>
      </c>
      <c r="B44" s="51" t="s">
        <v>223</v>
      </c>
      <c r="C44" s="145">
        <f>14+9</f>
        <v>23</v>
      </c>
      <c r="D44" s="145">
        <v>12</v>
      </c>
      <c r="E44" s="145">
        <v>0</v>
      </c>
      <c r="F44" s="145">
        <v>0</v>
      </c>
      <c r="G44" s="57">
        <v>2</v>
      </c>
      <c r="H44" s="57">
        <v>312</v>
      </c>
      <c r="I44" s="126">
        <v>0</v>
      </c>
      <c r="J44" s="126">
        <v>0</v>
      </c>
      <c r="K44" s="126">
        <v>0</v>
      </c>
      <c r="L44" s="126">
        <v>0</v>
      </c>
      <c r="M44" s="190">
        <f t="shared" si="5"/>
        <v>25</v>
      </c>
      <c r="N44" s="190">
        <f t="shared" si="6"/>
        <v>324</v>
      </c>
      <c r="O44" s="19">
        <v>0</v>
      </c>
      <c r="P44" s="7"/>
      <c r="Q44" s="7"/>
      <c r="T44" s="7"/>
    </row>
    <row r="45" spans="1:20" ht="12.75">
      <c r="A45" s="54">
        <v>38</v>
      </c>
      <c r="B45" s="51" t="s">
        <v>364</v>
      </c>
      <c r="C45" s="145">
        <v>0</v>
      </c>
      <c r="D45" s="145">
        <v>0</v>
      </c>
      <c r="E45" s="145">
        <v>0</v>
      </c>
      <c r="F45" s="145">
        <v>0</v>
      </c>
      <c r="G45" s="57">
        <v>0</v>
      </c>
      <c r="H45" s="57">
        <v>0</v>
      </c>
      <c r="I45" s="126">
        <v>0</v>
      </c>
      <c r="J45" s="126">
        <v>0</v>
      </c>
      <c r="K45" s="126">
        <v>0</v>
      </c>
      <c r="L45" s="126">
        <v>0</v>
      </c>
      <c r="M45" s="190">
        <f t="shared" si="5"/>
        <v>0</v>
      </c>
      <c r="N45" s="190">
        <f t="shared" si="6"/>
        <v>0</v>
      </c>
      <c r="O45" s="19"/>
      <c r="P45" s="7"/>
      <c r="Q45" s="7"/>
      <c r="T45" s="7"/>
    </row>
    <row r="46" spans="1:20" ht="12.75">
      <c r="A46" s="54">
        <v>39</v>
      </c>
      <c r="B46" s="57" t="s">
        <v>366</v>
      </c>
      <c r="C46" s="145">
        <v>0</v>
      </c>
      <c r="D46" s="145">
        <v>0</v>
      </c>
      <c r="E46" s="145">
        <v>0</v>
      </c>
      <c r="F46" s="145">
        <v>0</v>
      </c>
      <c r="G46" s="57">
        <v>0</v>
      </c>
      <c r="H46" s="57">
        <v>0</v>
      </c>
      <c r="I46" s="126">
        <v>0</v>
      </c>
      <c r="J46" s="126">
        <v>0</v>
      </c>
      <c r="K46" s="126">
        <v>146</v>
      </c>
      <c r="L46" s="126">
        <v>179</v>
      </c>
      <c r="M46" s="190">
        <f t="shared" si="5"/>
        <v>146</v>
      </c>
      <c r="N46" s="190">
        <f t="shared" si="6"/>
        <v>179</v>
      </c>
      <c r="O46" s="19"/>
      <c r="P46" s="7"/>
      <c r="Q46" s="6"/>
      <c r="T46" s="7"/>
    </row>
    <row r="47" spans="1:20" s="165" customFormat="1" ht="14.25">
      <c r="A47" s="203"/>
      <c r="B47" s="164" t="s">
        <v>225</v>
      </c>
      <c r="C47" s="164">
        <f aca="true" t="shared" si="7" ref="C47:N47">SUM(C34:C46)</f>
        <v>6214</v>
      </c>
      <c r="D47" s="164">
        <f t="shared" si="7"/>
        <v>1503</v>
      </c>
      <c r="E47" s="164">
        <f t="shared" si="7"/>
        <v>1804</v>
      </c>
      <c r="F47" s="164">
        <f t="shared" si="7"/>
        <v>925</v>
      </c>
      <c r="G47" s="164">
        <f t="shared" si="7"/>
        <v>1679</v>
      </c>
      <c r="H47" s="164">
        <f t="shared" si="7"/>
        <v>935</v>
      </c>
      <c r="I47" s="164">
        <f t="shared" si="7"/>
        <v>1531</v>
      </c>
      <c r="J47" s="164">
        <f t="shared" si="7"/>
        <v>637</v>
      </c>
      <c r="K47" s="326">
        <f>SUM(K34:K46)</f>
        <v>1797</v>
      </c>
      <c r="L47" s="326">
        <f>SUM(L34:L46)</f>
        <v>910</v>
      </c>
      <c r="M47" s="197">
        <f t="shared" si="7"/>
        <v>13025</v>
      </c>
      <c r="N47" s="197">
        <f t="shared" si="7"/>
        <v>4910</v>
      </c>
      <c r="O47" s="209"/>
      <c r="P47" s="166"/>
      <c r="Q47" s="167"/>
      <c r="R47" s="166"/>
      <c r="T47" s="166"/>
    </row>
    <row r="48" spans="1:20" s="165" customFormat="1" ht="14.25">
      <c r="A48" s="203"/>
      <c r="B48" s="204" t="s">
        <v>123</v>
      </c>
      <c r="C48" s="164">
        <f aca="true" t="shared" si="8" ref="C48:N48">C25+C33+C47</f>
        <v>368914</v>
      </c>
      <c r="D48" s="164">
        <f t="shared" si="8"/>
        <v>126926</v>
      </c>
      <c r="E48" s="164">
        <f t="shared" si="8"/>
        <v>71541</v>
      </c>
      <c r="F48" s="164">
        <f t="shared" si="8"/>
        <v>40086</v>
      </c>
      <c r="G48" s="164">
        <f t="shared" si="8"/>
        <v>43266</v>
      </c>
      <c r="H48" s="164">
        <f t="shared" si="8"/>
        <v>31298</v>
      </c>
      <c r="I48" s="164">
        <f t="shared" si="8"/>
        <v>42945</v>
      </c>
      <c r="J48" s="164">
        <f t="shared" si="8"/>
        <v>35940</v>
      </c>
      <c r="K48" s="326">
        <f t="shared" si="8"/>
        <v>26154</v>
      </c>
      <c r="L48" s="326">
        <f t="shared" si="8"/>
        <v>9841</v>
      </c>
      <c r="M48" s="197">
        <f t="shared" si="8"/>
        <v>552820</v>
      </c>
      <c r="N48" s="197">
        <f t="shared" si="8"/>
        <v>244091</v>
      </c>
      <c r="O48" s="210"/>
      <c r="P48" s="167"/>
      <c r="Q48" s="167"/>
      <c r="R48" s="166"/>
      <c r="T48" s="166"/>
    </row>
    <row r="49" spans="1:20" ht="18" customHeight="1">
      <c r="A49" s="101" t="s">
        <v>36</v>
      </c>
      <c r="B49" s="67"/>
      <c r="C49" s="67"/>
      <c r="D49" s="67"/>
      <c r="E49" s="67"/>
      <c r="F49" s="67"/>
      <c r="G49" s="67"/>
      <c r="H49" s="67"/>
      <c r="I49" s="67"/>
      <c r="J49" s="67"/>
      <c r="K49" s="148"/>
      <c r="L49" s="148"/>
      <c r="M49" s="191"/>
      <c r="N49" s="191"/>
      <c r="O49" s="20"/>
      <c r="P49" s="8"/>
      <c r="Q49" s="8"/>
      <c r="R49" s="8"/>
      <c r="S49" s="2"/>
      <c r="T49" s="8"/>
    </row>
    <row r="50" spans="1:20" ht="18" customHeight="1">
      <c r="A50" s="101" t="s">
        <v>36</v>
      </c>
      <c r="B50" s="67"/>
      <c r="C50" s="67"/>
      <c r="D50" s="67"/>
      <c r="E50" s="67"/>
      <c r="F50" s="67"/>
      <c r="G50" s="67"/>
      <c r="H50" s="67"/>
      <c r="I50" s="67"/>
      <c r="J50" s="67"/>
      <c r="K50" s="148"/>
      <c r="L50" s="148"/>
      <c r="M50" s="191"/>
      <c r="N50" s="191"/>
      <c r="O50" s="20"/>
      <c r="P50" s="8"/>
      <c r="Q50" s="8"/>
      <c r="R50" s="8"/>
      <c r="S50" s="2"/>
      <c r="T50" s="8"/>
    </row>
    <row r="51" spans="1:20" ht="18" customHeight="1">
      <c r="A51" s="101" t="s">
        <v>36</v>
      </c>
      <c r="B51" s="67"/>
      <c r="C51" s="659" t="s">
        <v>394</v>
      </c>
      <c r="D51" s="660"/>
      <c r="E51" s="67"/>
      <c r="F51" s="67"/>
      <c r="G51" s="67"/>
      <c r="H51" s="67"/>
      <c r="I51" s="67"/>
      <c r="J51" s="67"/>
      <c r="K51" s="148"/>
      <c r="L51" s="148"/>
      <c r="M51" s="191"/>
      <c r="N51" s="191"/>
      <c r="O51" s="20"/>
      <c r="P51" s="8"/>
      <c r="Q51" s="8"/>
      <c r="R51" s="8"/>
      <c r="S51" s="2"/>
      <c r="T51" s="8"/>
    </row>
    <row r="52" spans="1:20" ht="12.75">
      <c r="A52" s="202" t="s">
        <v>4</v>
      </c>
      <c r="B52" s="202" t="s">
        <v>5</v>
      </c>
      <c r="C52" s="659" t="s">
        <v>424</v>
      </c>
      <c r="D52" s="660"/>
      <c r="E52" s="659" t="s">
        <v>244</v>
      </c>
      <c r="F52" s="660"/>
      <c r="G52" s="659" t="s">
        <v>355</v>
      </c>
      <c r="H52" s="660"/>
      <c r="I52" s="659" t="s">
        <v>385</v>
      </c>
      <c r="J52" s="660"/>
      <c r="K52" s="633" t="s">
        <v>423</v>
      </c>
      <c r="L52" s="635"/>
      <c r="M52" s="665" t="s">
        <v>3</v>
      </c>
      <c r="N52" s="666"/>
      <c r="O52" s="20"/>
      <c r="P52" s="8"/>
      <c r="Q52" s="8"/>
      <c r="R52" s="8"/>
      <c r="S52" s="2"/>
      <c r="T52" s="8"/>
    </row>
    <row r="53" spans="1:20" ht="12.75">
      <c r="A53" s="186"/>
      <c r="B53" s="186"/>
      <c r="C53" s="143" t="s">
        <v>57</v>
      </c>
      <c r="D53" s="143" t="s">
        <v>63</v>
      </c>
      <c r="E53" s="143" t="s">
        <v>57</v>
      </c>
      <c r="F53" s="143" t="s">
        <v>63</v>
      </c>
      <c r="G53" s="143" t="s">
        <v>57</v>
      </c>
      <c r="H53" s="143" t="s">
        <v>63</v>
      </c>
      <c r="I53" s="143" t="s">
        <v>57</v>
      </c>
      <c r="J53" s="143" t="s">
        <v>63</v>
      </c>
      <c r="K53" s="323" t="s">
        <v>57</v>
      </c>
      <c r="L53" s="323" t="s">
        <v>63</v>
      </c>
      <c r="M53" s="266" t="s">
        <v>57</v>
      </c>
      <c r="N53" s="266" t="s">
        <v>63</v>
      </c>
      <c r="O53" s="20"/>
      <c r="P53" s="8"/>
      <c r="Q53" s="8"/>
      <c r="R53" s="8"/>
      <c r="S53" s="2"/>
      <c r="T53" s="8"/>
    </row>
    <row r="54" spans="1:15" ht="12.75">
      <c r="A54" s="54">
        <v>40</v>
      </c>
      <c r="B54" s="57" t="s">
        <v>78</v>
      </c>
      <c r="C54" s="145">
        <f>13135+7666</f>
        <v>20801</v>
      </c>
      <c r="D54" s="145">
        <f>374+380</f>
        <v>754</v>
      </c>
      <c r="E54" s="145">
        <v>2471</v>
      </c>
      <c r="F54" s="145">
        <v>165</v>
      </c>
      <c r="G54" s="57">
        <v>0</v>
      </c>
      <c r="H54" s="57">
        <v>0</v>
      </c>
      <c r="I54" s="126">
        <v>2435</v>
      </c>
      <c r="J54" s="126">
        <v>222</v>
      </c>
      <c r="K54" s="126">
        <v>0</v>
      </c>
      <c r="L54" s="126">
        <v>0</v>
      </c>
      <c r="M54" s="190">
        <f aca="true" t="shared" si="9" ref="M54:N61">K54+C54+E54+G54+I54</f>
        <v>25707</v>
      </c>
      <c r="N54" s="190">
        <f t="shared" si="9"/>
        <v>1141</v>
      </c>
      <c r="O54" s="22"/>
    </row>
    <row r="55" spans="1:15" ht="12.75">
      <c r="A55" s="54">
        <v>41</v>
      </c>
      <c r="B55" s="57" t="s">
        <v>278</v>
      </c>
      <c r="C55" s="145">
        <f>55016+4404</f>
        <v>59420</v>
      </c>
      <c r="D55" s="145">
        <f>2755+214</f>
        <v>2969</v>
      </c>
      <c r="E55" s="145">
        <v>9209</v>
      </c>
      <c r="F55" s="145">
        <v>646</v>
      </c>
      <c r="G55" s="57">
        <v>3540</v>
      </c>
      <c r="H55" s="57">
        <v>470</v>
      </c>
      <c r="I55" s="126">
        <v>9708</v>
      </c>
      <c r="J55" s="126">
        <v>208</v>
      </c>
      <c r="K55" s="126">
        <v>28</v>
      </c>
      <c r="L55" s="126">
        <v>4</v>
      </c>
      <c r="M55" s="190">
        <f t="shared" si="9"/>
        <v>81905</v>
      </c>
      <c r="N55" s="190">
        <f t="shared" si="9"/>
        <v>4297</v>
      </c>
      <c r="O55" s="22"/>
    </row>
    <row r="56" spans="1:15" ht="12.75">
      <c r="A56" s="54">
        <v>42</v>
      </c>
      <c r="B56" s="57" t="s">
        <v>30</v>
      </c>
      <c r="C56" s="145">
        <f>1412+19</f>
        <v>1431</v>
      </c>
      <c r="D56" s="145">
        <v>63</v>
      </c>
      <c r="E56" s="145">
        <v>0</v>
      </c>
      <c r="F56" s="145">
        <v>0</v>
      </c>
      <c r="G56" s="57">
        <v>0</v>
      </c>
      <c r="H56" s="57">
        <v>0</v>
      </c>
      <c r="I56" s="126">
        <v>0</v>
      </c>
      <c r="J56" s="126">
        <v>0</v>
      </c>
      <c r="K56" s="126">
        <v>0</v>
      </c>
      <c r="L56" s="126">
        <v>0</v>
      </c>
      <c r="M56" s="190">
        <f t="shared" si="9"/>
        <v>1431</v>
      </c>
      <c r="N56" s="190">
        <f t="shared" si="9"/>
        <v>63</v>
      </c>
      <c r="O56" s="22"/>
    </row>
    <row r="57" spans="1:15" ht="12.75">
      <c r="A57" s="54">
        <v>43</v>
      </c>
      <c r="B57" s="57" t="s">
        <v>234</v>
      </c>
      <c r="C57" s="145">
        <f>52753+1652</f>
        <v>54405</v>
      </c>
      <c r="D57" s="145">
        <f>1397+167</f>
        <v>1564</v>
      </c>
      <c r="E57" s="145">
        <v>492</v>
      </c>
      <c r="F57" s="145">
        <v>63</v>
      </c>
      <c r="G57" s="57">
        <v>809</v>
      </c>
      <c r="H57" s="57">
        <v>87</v>
      </c>
      <c r="I57" s="126">
        <v>5943</v>
      </c>
      <c r="J57" s="126">
        <v>454</v>
      </c>
      <c r="K57" s="126">
        <v>687</v>
      </c>
      <c r="L57" s="126">
        <v>75</v>
      </c>
      <c r="M57" s="190">
        <f t="shared" si="9"/>
        <v>62336</v>
      </c>
      <c r="N57" s="190">
        <f t="shared" si="9"/>
        <v>2243</v>
      </c>
      <c r="O57" s="22"/>
    </row>
    <row r="58" spans="1:15" ht="12.75">
      <c r="A58" s="54">
        <v>44</v>
      </c>
      <c r="B58" s="57" t="s">
        <v>29</v>
      </c>
      <c r="C58" s="145">
        <f>882+4218</f>
        <v>5100</v>
      </c>
      <c r="D58" s="145">
        <f>35+112</f>
        <v>147</v>
      </c>
      <c r="E58" s="145">
        <v>0</v>
      </c>
      <c r="F58" s="145">
        <v>0</v>
      </c>
      <c r="G58" s="57">
        <v>2994</v>
      </c>
      <c r="H58" s="57">
        <v>181</v>
      </c>
      <c r="I58" s="126">
        <v>0</v>
      </c>
      <c r="J58" s="126">
        <v>0</v>
      </c>
      <c r="K58" s="126">
        <v>0</v>
      </c>
      <c r="L58" s="126">
        <v>0</v>
      </c>
      <c r="M58" s="190">
        <f t="shared" si="9"/>
        <v>8094</v>
      </c>
      <c r="N58" s="190">
        <f t="shared" si="9"/>
        <v>328</v>
      </c>
      <c r="O58" s="22"/>
    </row>
    <row r="59" spans="1:15" ht="12.75">
      <c r="A59" s="54">
        <v>45</v>
      </c>
      <c r="B59" s="57" t="s">
        <v>391</v>
      </c>
      <c r="C59" s="145">
        <f>44448+3693</f>
        <v>48141</v>
      </c>
      <c r="D59" s="145">
        <f>4123+302</f>
        <v>4425</v>
      </c>
      <c r="E59" s="145">
        <f>3943+1081</f>
        <v>5024</v>
      </c>
      <c r="F59" s="145">
        <f>93+313</f>
        <v>406</v>
      </c>
      <c r="G59" s="57">
        <f>8645+1860</f>
        <v>10505</v>
      </c>
      <c r="H59" s="57">
        <f>170+749</f>
        <v>919</v>
      </c>
      <c r="I59" s="126">
        <v>1524</v>
      </c>
      <c r="J59" s="126">
        <v>1877</v>
      </c>
      <c r="K59" s="126">
        <v>0</v>
      </c>
      <c r="L59" s="126">
        <v>0</v>
      </c>
      <c r="M59" s="190">
        <f t="shared" si="9"/>
        <v>65194</v>
      </c>
      <c r="N59" s="190">
        <f t="shared" si="9"/>
        <v>7627</v>
      </c>
      <c r="O59" s="22"/>
    </row>
    <row r="60" spans="1:15" ht="12.75">
      <c r="A60" s="54">
        <v>46</v>
      </c>
      <c r="B60" s="57" t="s">
        <v>25</v>
      </c>
      <c r="C60" s="145">
        <v>14710</v>
      </c>
      <c r="D60" s="145">
        <v>215</v>
      </c>
      <c r="E60" s="145">
        <v>4424</v>
      </c>
      <c r="F60" s="145">
        <v>229</v>
      </c>
      <c r="G60" s="57">
        <v>19</v>
      </c>
      <c r="H60" s="57">
        <v>2</v>
      </c>
      <c r="I60" s="126">
        <v>34</v>
      </c>
      <c r="J60" s="126">
        <v>4</v>
      </c>
      <c r="K60" s="126">
        <v>21</v>
      </c>
      <c r="L60" s="126">
        <v>1</v>
      </c>
      <c r="M60" s="190">
        <f t="shared" si="9"/>
        <v>19208</v>
      </c>
      <c r="N60" s="190">
        <f t="shared" si="9"/>
        <v>451</v>
      </c>
      <c r="O60" s="22"/>
    </row>
    <row r="61" spans="1:15" ht="12.75">
      <c r="A61" s="54">
        <v>47</v>
      </c>
      <c r="B61" s="57" t="s">
        <v>28</v>
      </c>
      <c r="C61" s="145">
        <f>8132+195</f>
        <v>8327</v>
      </c>
      <c r="D61" s="145">
        <f>531+37</f>
        <v>568</v>
      </c>
      <c r="E61" s="145">
        <v>280</v>
      </c>
      <c r="F61" s="145">
        <v>115</v>
      </c>
      <c r="G61" s="57">
        <v>0</v>
      </c>
      <c r="H61" s="57">
        <v>0</v>
      </c>
      <c r="I61" s="126">
        <v>0</v>
      </c>
      <c r="J61" s="126">
        <v>0</v>
      </c>
      <c r="K61" s="126">
        <v>73</v>
      </c>
      <c r="L61" s="126">
        <v>8</v>
      </c>
      <c r="M61" s="190">
        <f t="shared" si="9"/>
        <v>8680</v>
      </c>
      <c r="N61" s="190">
        <f t="shared" si="9"/>
        <v>691</v>
      </c>
      <c r="O61" s="22"/>
    </row>
    <row r="62" spans="1:18" s="165" customFormat="1" ht="14.25">
      <c r="A62" s="54"/>
      <c r="B62" s="204" t="s">
        <v>123</v>
      </c>
      <c r="C62" s="164">
        <f aca="true" t="shared" si="10" ref="C62:N62">SUM(C54:C61)</f>
        <v>212335</v>
      </c>
      <c r="D62" s="164">
        <f t="shared" si="10"/>
        <v>10705</v>
      </c>
      <c r="E62" s="164">
        <f t="shared" si="10"/>
        <v>21900</v>
      </c>
      <c r="F62" s="164">
        <f t="shared" si="10"/>
        <v>1624</v>
      </c>
      <c r="G62" s="164">
        <f t="shared" si="10"/>
        <v>17867</v>
      </c>
      <c r="H62" s="164">
        <f t="shared" si="10"/>
        <v>1659</v>
      </c>
      <c r="I62" s="164">
        <f t="shared" si="10"/>
        <v>19644</v>
      </c>
      <c r="J62" s="164">
        <f t="shared" si="10"/>
        <v>2765</v>
      </c>
      <c r="K62" s="326">
        <f>SUM(K54:K61)</f>
        <v>809</v>
      </c>
      <c r="L62" s="326">
        <f>SUM(L54:L61)</f>
        <v>88</v>
      </c>
      <c r="M62" s="197">
        <f t="shared" si="10"/>
        <v>272555</v>
      </c>
      <c r="N62" s="197">
        <f t="shared" si="10"/>
        <v>16841</v>
      </c>
      <c r="O62" s="210"/>
      <c r="P62" s="167"/>
      <c r="R62" s="166"/>
    </row>
    <row r="63" spans="1:15" ht="12.75">
      <c r="A63" s="54"/>
      <c r="B63" s="103" t="s">
        <v>36</v>
      </c>
      <c r="C63" s="57"/>
      <c r="D63" s="57"/>
      <c r="E63" s="57"/>
      <c r="F63" s="57"/>
      <c r="G63" s="57"/>
      <c r="H63" s="57"/>
      <c r="I63" s="57"/>
      <c r="J63" s="57"/>
      <c r="K63" s="116"/>
      <c r="L63" s="116"/>
      <c r="M63" s="190"/>
      <c r="N63" s="190"/>
      <c r="O63" s="22"/>
    </row>
    <row r="64" spans="1:15" ht="12.75">
      <c r="A64" s="54">
        <v>48</v>
      </c>
      <c r="B64" s="57" t="s">
        <v>34</v>
      </c>
      <c r="C64" s="145">
        <f>73468+2192</f>
        <v>75660</v>
      </c>
      <c r="D64" s="145">
        <f>3194+372</f>
        <v>3566</v>
      </c>
      <c r="E64" s="145">
        <v>1402</v>
      </c>
      <c r="F64" s="145">
        <v>101</v>
      </c>
      <c r="G64" s="57">
        <v>1167</v>
      </c>
      <c r="H64" s="57">
        <v>59</v>
      </c>
      <c r="I64" s="126">
        <v>0</v>
      </c>
      <c r="J64" s="126">
        <v>0</v>
      </c>
      <c r="K64" s="126">
        <v>833</v>
      </c>
      <c r="L64" s="126">
        <v>179</v>
      </c>
      <c r="M64" s="190">
        <f aca="true" t="shared" si="11" ref="M64:N66">K64+C64+E64+G64+I64</f>
        <v>79062</v>
      </c>
      <c r="N64" s="190">
        <f t="shared" si="11"/>
        <v>3905</v>
      </c>
      <c r="O64" s="22"/>
    </row>
    <row r="65" spans="1:15" ht="12.75">
      <c r="A65" s="54">
        <v>49</v>
      </c>
      <c r="B65" s="57" t="s">
        <v>130</v>
      </c>
      <c r="C65" s="145">
        <v>0</v>
      </c>
      <c r="D65" s="145">
        <v>0</v>
      </c>
      <c r="E65" s="145">
        <v>0</v>
      </c>
      <c r="F65" s="145">
        <v>0</v>
      </c>
      <c r="G65" s="57">
        <v>0</v>
      </c>
      <c r="H65" s="57">
        <v>0</v>
      </c>
      <c r="I65" s="126">
        <v>0</v>
      </c>
      <c r="J65" s="126">
        <v>0</v>
      </c>
      <c r="K65" s="126">
        <v>0</v>
      </c>
      <c r="L65" s="126">
        <v>0</v>
      </c>
      <c r="M65" s="190">
        <f t="shared" si="11"/>
        <v>0</v>
      </c>
      <c r="N65" s="190">
        <f t="shared" si="11"/>
        <v>0</v>
      </c>
      <c r="O65" s="22"/>
    </row>
    <row r="66" spans="1:18" s="165" customFormat="1" ht="14.25">
      <c r="A66" s="203"/>
      <c r="B66" s="204" t="s">
        <v>123</v>
      </c>
      <c r="C66" s="164">
        <f aca="true" t="shared" si="12" ref="C66:J66">SUM(C64:C65)</f>
        <v>75660</v>
      </c>
      <c r="D66" s="164">
        <f t="shared" si="12"/>
        <v>3566</v>
      </c>
      <c r="E66" s="164">
        <f>SUM(E64:E65)</f>
        <v>1402</v>
      </c>
      <c r="F66" s="164">
        <f>SUM(F64:F65)</f>
        <v>101</v>
      </c>
      <c r="G66" s="164">
        <f t="shared" si="12"/>
        <v>1167</v>
      </c>
      <c r="H66" s="164">
        <f t="shared" si="12"/>
        <v>59</v>
      </c>
      <c r="I66" s="164">
        <f t="shared" si="12"/>
        <v>0</v>
      </c>
      <c r="J66" s="164">
        <f t="shared" si="12"/>
        <v>0</v>
      </c>
      <c r="K66" s="326">
        <f>SUM(K64:K65)</f>
        <v>833</v>
      </c>
      <c r="L66" s="326">
        <f>SUM(L64:L65)</f>
        <v>179</v>
      </c>
      <c r="M66" s="197">
        <f t="shared" si="11"/>
        <v>79062</v>
      </c>
      <c r="N66" s="197">
        <f t="shared" si="11"/>
        <v>3905</v>
      </c>
      <c r="O66" s="210"/>
      <c r="P66" s="167"/>
      <c r="R66" s="166"/>
    </row>
    <row r="67" spans="1:18" s="165" customFormat="1" ht="14.25">
      <c r="A67" s="203"/>
      <c r="B67" s="204" t="s">
        <v>35</v>
      </c>
      <c r="C67" s="164">
        <f aca="true" t="shared" si="13" ref="C67:N67">+C48+C62+C66</f>
        <v>656909</v>
      </c>
      <c r="D67" s="164">
        <f t="shared" si="13"/>
        <v>141197</v>
      </c>
      <c r="E67" s="164">
        <f t="shared" si="13"/>
        <v>94843</v>
      </c>
      <c r="F67" s="164">
        <f t="shared" si="13"/>
        <v>41811</v>
      </c>
      <c r="G67" s="164">
        <f t="shared" si="13"/>
        <v>62300</v>
      </c>
      <c r="H67" s="164">
        <f t="shared" si="13"/>
        <v>33016</v>
      </c>
      <c r="I67" s="164">
        <f t="shared" si="13"/>
        <v>62589</v>
      </c>
      <c r="J67" s="164">
        <f t="shared" si="13"/>
        <v>38705</v>
      </c>
      <c r="K67" s="326">
        <f>+K48+K62+K66</f>
        <v>27796</v>
      </c>
      <c r="L67" s="326">
        <f>+L48+L62+L66</f>
        <v>10108</v>
      </c>
      <c r="M67" s="197">
        <f t="shared" si="13"/>
        <v>904437</v>
      </c>
      <c r="N67" s="197">
        <f t="shared" si="13"/>
        <v>264837</v>
      </c>
      <c r="O67" s="210"/>
      <c r="P67" s="167"/>
      <c r="R67" s="166"/>
    </row>
    <row r="69" ht="12.75">
      <c r="E69" s="6">
        <v>6</v>
      </c>
    </row>
    <row r="70" ht="12.75">
      <c r="K70" s="127">
        <v>6</v>
      </c>
    </row>
    <row r="74" ht="12.75">
      <c r="D74" s="6" t="s">
        <v>36</v>
      </c>
    </row>
    <row r="75" ht="12.75">
      <c r="F75" s="6" t="s">
        <v>36</v>
      </c>
    </row>
    <row r="76" ht="12.75">
      <c r="D76" s="6" t="s">
        <v>36</v>
      </c>
    </row>
  </sheetData>
  <sheetProtection/>
  <mergeCells count="13">
    <mergeCell ref="C51:D51"/>
    <mergeCell ref="I52:J52"/>
    <mergeCell ref="M52:N52"/>
    <mergeCell ref="K52:L52"/>
    <mergeCell ref="C52:D52"/>
    <mergeCell ref="E52:F52"/>
    <mergeCell ref="G52:H52"/>
    <mergeCell ref="I4:J4"/>
    <mergeCell ref="M4:N4"/>
    <mergeCell ref="K4:L4"/>
    <mergeCell ref="C4:D4"/>
    <mergeCell ref="E4:F4"/>
    <mergeCell ref="G4:H4"/>
  </mergeCells>
  <printOptions gridLines="1" horizontalCentered="1"/>
  <pageMargins left="0.75" right="0.75" top="0.6" bottom="1" header="0.5" footer="0.5"/>
  <pageSetup blackAndWhite="1" horizontalDpi="300" verticalDpi="300" orientation="landscape" paperSize="9" scale="75" r:id="rId2"/>
  <rowBreaks count="1" manualBreakCount="1">
    <brk id="48" max="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74"/>
  <sheetViews>
    <sheetView zoomScale="120" zoomScaleNormal="120" zoomScalePageLayoutView="0" workbookViewId="0" topLeftCell="I61">
      <selection activeCell="L43" sqref="L43"/>
    </sheetView>
  </sheetViews>
  <sheetFormatPr defaultColWidth="9.140625" defaultRowHeight="12.75"/>
  <cols>
    <col min="1" max="1" width="3.7109375" style="103" customWidth="1"/>
    <col min="2" max="2" width="21.8515625" style="103" customWidth="1"/>
    <col min="3" max="5" width="12.7109375" style="22" customWidth="1"/>
    <col min="6" max="6" width="12.7109375" style="99" customWidth="1"/>
    <col min="7" max="9" width="12.7109375" style="22" customWidth="1"/>
    <col min="10" max="10" width="12.7109375" style="99" customWidth="1"/>
    <col min="11" max="13" width="12.7109375" style="22" customWidth="1"/>
    <col min="14" max="14" width="12.7109375" style="99" customWidth="1"/>
    <col min="15" max="15" width="5.57421875" style="22" hidden="1" customWidth="1"/>
    <col min="16" max="16" width="5.57421875" style="22" customWidth="1"/>
    <col min="17" max="17" width="9.57421875" style="103" customWidth="1"/>
    <col min="18" max="18" width="9.140625" style="19" customWidth="1"/>
    <col min="19" max="19" width="9.140625" style="103" customWidth="1"/>
    <col min="20" max="20" width="11.57421875" style="103" customWidth="1"/>
    <col min="21" max="16384" width="9.140625" style="103" customWidth="1"/>
  </cols>
  <sheetData>
    <row r="1" spans="1:19" ht="15">
      <c r="A1" s="464"/>
      <c r="B1" s="500"/>
      <c r="C1" s="21"/>
      <c r="D1" s="21"/>
      <c r="E1" s="21"/>
      <c r="F1" s="259"/>
      <c r="G1" s="21"/>
      <c r="H1" s="21"/>
      <c r="I1" s="21"/>
      <c r="J1" s="259"/>
      <c r="K1" s="21"/>
      <c r="L1" s="21"/>
      <c r="M1" s="21"/>
      <c r="N1" s="259"/>
      <c r="O1" s="21"/>
      <c r="P1" s="21"/>
      <c r="Q1" s="500"/>
      <c r="R1" s="499"/>
      <c r="S1" s="500"/>
    </row>
    <row r="2" spans="1:4" ht="12.75">
      <c r="A2" s="105"/>
      <c r="B2" s="464"/>
      <c r="C2" s="24"/>
      <c r="D2" s="24"/>
    </row>
    <row r="3" spans="15:20" ht="12.75">
      <c r="O3" s="20"/>
      <c r="P3" s="20"/>
      <c r="R3" s="20"/>
      <c r="S3" s="105"/>
      <c r="T3" s="105"/>
    </row>
    <row r="4" spans="1:20" ht="18" customHeight="1">
      <c r="A4" s="202" t="s">
        <v>4</v>
      </c>
      <c r="B4" s="202" t="s">
        <v>5</v>
      </c>
      <c r="C4" s="662" t="s">
        <v>111</v>
      </c>
      <c r="D4" s="662"/>
      <c r="E4" s="662"/>
      <c r="F4" s="662"/>
      <c r="G4" s="662" t="s">
        <v>370</v>
      </c>
      <c r="H4" s="662"/>
      <c r="I4" s="662"/>
      <c r="J4" s="662"/>
      <c r="K4" s="662" t="s">
        <v>62</v>
      </c>
      <c r="L4" s="662"/>
      <c r="M4" s="662"/>
      <c r="N4" s="662"/>
      <c r="O4" s="207"/>
      <c r="P4" s="207"/>
      <c r="Q4" s="503"/>
      <c r="R4" s="20"/>
      <c r="S4" s="503"/>
      <c r="T4" s="503"/>
    </row>
    <row r="5" spans="1:20" ht="12.75">
      <c r="A5" s="186"/>
      <c r="B5" s="186"/>
      <c r="C5" s="143" t="s">
        <v>201</v>
      </c>
      <c r="D5" s="143" t="s">
        <v>202</v>
      </c>
      <c r="E5" s="143" t="s">
        <v>203</v>
      </c>
      <c r="F5" s="266" t="s">
        <v>3</v>
      </c>
      <c r="G5" s="143" t="s">
        <v>201</v>
      </c>
      <c r="H5" s="143" t="s">
        <v>202</v>
      </c>
      <c r="I5" s="143" t="s">
        <v>203</v>
      </c>
      <c r="J5" s="266" t="s">
        <v>3</v>
      </c>
      <c r="K5" s="143" t="s">
        <v>201</v>
      </c>
      <c r="L5" s="143" t="s">
        <v>202</v>
      </c>
      <c r="M5" s="143" t="s">
        <v>203</v>
      </c>
      <c r="N5" s="266" t="s">
        <v>3</v>
      </c>
      <c r="O5" s="208"/>
      <c r="P5" s="208"/>
      <c r="Q5" s="104"/>
      <c r="R5" s="20"/>
      <c r="S5" s="105"/>
      <c r="T5" s="105"/>
    </row>
    <row r="6" spans="1:20" ht="12.75">
      <c r="A6" s="54">
        <v>1</v>
      </c>
      <c r="B6" s="57" t="s">
        <v>7</v>
      </c>
      <c r="C6" s="57">
        <v>1041</v>
      </c>
      <c r="D6" s="57">
        <v>1232</v>
      </c>
      <c r="E6" s="57">
        <v>146</v>
      </c>
      <c r="F6" s="190">
        <f>C6+D6+E6</f>
        <v>2419</v>
      </c>
      <c r="G6" s="57">
        <v>750</v>
      </c>
      <c r="H6" s="57">
        <v>1604</v>
      </c>
      <c r="I6" s="57">
        <v>267</v>
      </c>
      <c r="J6" s="190">
        <f>G6+H6+I6</f>
        <v>2621</v>
      </c>
      <c r="K6" s="57">
        <v>1103</v>
      </c>
      <c r="L6" s="57">
        <v>1177</v>
      </c>
      <c r="M6" s="57">
        <v>246</v>
      </c>
      <c r="N6" s="190">
        <f>K6+L6+M6</f>
        <v>2526</v>
      </c>
      <c r="O6" s="19">
        <v>0</v>
      </c>
      <c r="P6" s="19"/>
      <c r="Q6" s="104"/>
      <c r="R6" s="20"/>
      <c r="S6" s="105"/>
      <c r="T6" s="105"/>
    </row>
    <row r="7" spans="1:19" ht="12.75">
      <c r="A7" s="54">
        <v>2</v>
      </c>
      <c r="B7" s="57" t="s">
        <v>8</v>
      </c>
      <c r="C7" s="57">
        <v>0</v>
      </c>
      <c r="D7" s="57">
        <v>0</v>
      </c>
      <c r="E7" s="57">
        <v>0</v>
      </c>
      <c r="F7" s="190">
        <f aca="true" t="shared" si="0" ref="F7:F44">C7+D7+E7</f>
        <v>0</v>
      </c>
      <c r="G7" s="57">
        <v>0</v>
      </c>
      <c r="H7" s="57">
        <v>16</v>
      </c>
      <c r="I7" s="57">
        <v>0</v>
      </c>
      <c r="J7" s="190">
        <f aca="true" t="shared" si="1" ref="J7:J44">G7+H7+I7</f>
        <v>16</v>
      </c>
      <c r="K7" s="57">
        <v>39</v>
      </c>
      <c r="L7" s="57">
        <v>33</v>
      </c>
      <c r="M7" s="57">
        <v>0</v>
      </c>
      <c r="N7" s="190">
        <f aca="true" t="shared" si="2" ref="N7:N24">K7+L7+M7</f>
        <v>72</v>
      </c>
      <c r="O7" s="19">
        <v>0</v>
      </c>
      <c r="P7" s="19"/>
      <c r="Q7" s="106"/>
      <c r="R7" s="107"/>
      <c r="S7" s="108"/>
    </row>
    <row r="8" spans="1:20" ht="12.75">
      <c r="A8" s="54">
        <v>3</v>
      </c>
      <c r="B8" s="57" t="s">
        <v>9</v>
      </c>
      <c r="C8" s="57">
        <v>1311</v>
      </c>
      <c r="D8" s="57">
        <v>1103</v>
      </c>
      <c r="E8" s="57">
        <v>39</v>
      </c>
      <c r="F8" s="190">
        <f t="shared" si="0"/>
        <v>2453</v>
      </c>
      <c r="G8" s="57">
        <v>164</v>
      </c>
      <c r="H8" s="57">
        <v>441</v>
      </c>
      <c r="I8" s="57">
        <v>18</v>
      </c>
      <c r="J8" s="190">
        <f t="shared" si="1"/>
        <v>623</v>
      </c>
      <c r="K8" s="57">
        <v>451</v>
      </c>
      <c r="L8" s="57">
        <v>874</v>
      </c>
      <c r="M8" s="57">
        <v>216</v>
      </c>
      <c r="N8" s="190">
        <f t="shared" si="2"/>
        <v>1541</v>
      </c>
      <c r="O8" s="19">
        <v>0</v>
      </c>
      <c r="P8" s="19"/>
      <c r="Q8" s="19"/>
      <c r="T8" s="19"/>
    </row>
    <row r="9" spans="1:20" ht="12.75">
      <c r="A9" s="54">
        <v>4</v>
      </c>
      <c r="B9" s="57" t="s">
        <v>10</v>
      </c>
      <c r="C9" s="57">
        <v>976</v>
      </c>
      <c r="D9" s="57">
        <v>1719</v>
      </c>
      <c r="E9" s="57">
        <v>122</v>
      </c>
      <c r="F9" s="190">
        <f t="shared" si="0"/>
        <v>2817</v>
      </c>
      <c r="G9" s="57">
        <v>834</v>
      </c>
      <c r="H9" s="57">
        <v>1431</v>
      </c>
      <c r="I9" s="57">
        <v>481</v>
      </c>
      <c r="J9" s="190">
        <f t="shared" si="1"/>
        <v>2746</v>
      </c>
      <c r="K9" s="57">
        <v>2518</v>
      </c>
      <c r="L9" s="57">
        <v>1627</v>
      </c>
      <c r="M9" s="57">
        <v>667</v>
      </c>
      <c r="N9" s="190">
        <f t="shared" si="2"/>
        <v>4812</v>
      </c>
      <c r="O9" s="19"/>
      <c r="P9" s="19"/>
      <c r="Q9" s="19"/>
      <c r="T9" s="19"/>
    </row>
    <row r="10" spans="1:20" ht="12.75">
      <c r="A10" s="54">
        <v>5</v>
      </c>
      <c r="B10" s="57" t="s">
        <v>11</v>
      </c>
      <c r="C10" s="57">
        <v>1460</v>
      </c>
      <c r="D10" s="57">
        <v>432</v>
      </c>
      <c r="E10" s="57">
        <v>62</v>
      </c>
      <c r="F10" s="190">
        <f t="shared" si="0"/>
        <v>1954</v>
      </c>
      <c r="G10" s="57">
        <v>833</v>
      </c>
      <c r="H10" s="57">
        <v>568</v>
      </c>
      <c r="I10" s="57">
        <v>216</v>
      </c>
      <c r="J10" s="190">
        <f t="shared" si="1"/>
        <v>1617</v>
      </c>
      <c r="K10" s="57">
        <v>931</v>
      </c>
      <c r="L10" s="57">
        <v>1126</v>
      </c>
      <c r="M10" s="57">
        <v>417</v>
      </c>
      <c r="N10" s="190">
        <f t="shared" si="2"/>
        <v>2474</v>
      </c>
      <c r="O10" s="19"/>
      <c r="P10" s="19"/>
      <c r="Q10" s="19"/>
      <c r="T10" s="19"/>
    </row>
    <row r="11" spans="1:20" ht="12.75">
      <c r="A11" s="54">
        <v>6</v>
      </c>
      <c r="B11" s="57" t="s">
        <v>12</v>
      </c>
      <c r="C11" s="57">
        <v>306</v>
      </c>
      <c r="D11" s="57">
        <v>327</v>
      </c>
      <c r="E11" s="57">
        <v>38</v>
      </c>
      <c r="F11" s="190">
        <f t="shared" si="0"/>
        <v>671</v>
      </c>
      <c r="G11" s="57">
        <v>120</v>
      </c>
      <c r="H11" s="57">
        <v>346</v>
      </c>
      <c r="I11" s="57">
        <v>200</v>
      </c>
      <c r="J11" s="190">
        <f t="shared" si="1"/>
        <v>666</v>
      </c>
      <c r="K11" s="57">
        <v>276</v>
      </c>
      <c r="L11" s="57">
        <v>869</v>
      </c>
      <c r="M11" s="57">
        <v>235</v>
      </c>
      <c r="N11" s="190">
        <f t="shared" si="2"/>
        <v>1380</v>
      </c>
      <c r="O11" s="19"/>
      <c r="P11" s="19"/>
      <c r="Q11" s="19"/>
      <c r="T11" s="19"/>
    </row>
    <row r="12" spans="1:20" ht="12.75">
      <c r="A12" s="54">
        <v>7</v>
      </c>
      <c r="B12" s="57" t="s">
        <v>13</v>
      </c>
      <c r="C12" s="57">
        <v>1014</v>
      </c>
      <c r="D12" s="57">
        <v>5614</v>
      </c>
      <c r="E12" s="57">
        <v>260</v>
      </c>
      <c r="F12" s="190">
        <f t="shared" si="0"/>
        <v>6888</v>
      </c>
      <c r="G12" s="57">
        <v>1278</v>
      </c>
      <c r="H12" s="57">
        <v>3888</v>
      </c>
      <c r="I12" s="57">
        <v>632</v>
      </c>
      <c r="J12" s="190">
        <f t="shared" si="1"/>
        <v>5798</v>
      </c>
      <c r="K12" s="57">
        <v>1165</v>
      </c>
      <c r="L12" s="57">
        <v>2295</v>
      </c>
      <c r="M12" s="57">
        <v>579</v>
      </c>
      <c r="N12" s="190">
        <f t="shared" si="2"/>
        <v>4039</v>
      </c>
      <c r="O12" s="19"/>
      <c r="P12" s="19"/>
      <c r="Q12" s="19"/>
      <c r="T12" s="19"/>
    </row>
    <row r="13" spans="1:20" ht="12.75">
      <c r="A13" s="54">
        <v>8</v>
      </c>
      <c r="B13" s="57" t="s">
        <v>162</v>
      </c>
      <c r="C13" s="57">
        <v>0</v>
      </c>
      <c r="D13" s="57">
        <v>6</v>
      </c>
      <c r="E13" s="57">
        <v>0</v>
      </c>
      <c r="F13" s="190">
        <f>C13+D13+E13</f>
        <v>6</v>
      </c>
      <c r="G13" s="57">
        <v>21</v>
      </c>
      <c r="H13" s="57">
        <v>94</v>
      </c>
      <c r="I13" s="57">
        <v>60</v>
      </c>
      <c r="J13" s="190">
        <f>G13+H13+I13</f>
        <v>175</v>
      </c>
      <c r="K13" s="57">
        <v>76</v>
      </c>
      <c r="L13" s="57">
        <v>123</v>
      </c>
      <c r="M13" s="57">
        <v>211</v>
      </c>
      <c r="N13" s="190">
        <f>K13+L13+M13</f>
        <v>410</v>
      </c>
      <c r="O13" s="552">
        <v>0</v>
      </c>
      <c r="P13" s="19"/>
      <c r="Q13" s="19"/>
      <c r="T13" s="19"/>
    </row>
    <row r="14" spans="1:20" ht="12.75">
      <c r="A14" s="54">
        <v>9</v>
      </c>
      <c r="B14" s="57" t="s">
        <v>14</v>
      </c>
      <c r="C14" s="57">
        <v>233</v>
      </c>
      <c r="D14" s="57">
        <v>243</v>
      </c>
      <c r="E14" s="57">
        <v>15</v>
      </c>
      <c r="F14" s="190">
        <f t="shared" si="0"/>
        <v>491</v>
      </c>
      <c r="G14" s="57">
        <v>240</v>
      </c>
      <c r="H14" s="57">
        <v>650</v>
      </c>
      <c r="I14" s="57">
        <v>152</v>
      </c>
      <c r="J14" s="190">
        <f t="shared" si="1"/>
        <v>1042</v>
      </c>
      <c r="K14" s="57">
        <v>357</v>
      </c>
      <c r="L14" s="57">
        <v>740</v>
      </c>
      <c r="M14" s="57">
        <v>261</v>
      </c>
      <c r="N14" s="190">
        <f t="shared" si="2"/>
        <v>1358</v>
      </c>
      <c r="O14" s="19">
        <v>0</v>
      </c>
      <c r="P14" s="19"/>
      <c r="Q14" s="19"/>
      <c r="T14" s="19"/>
    </row>
    <row r="15" spans="1:20" ht="12.75">
      <c r="A15" s="54">
        <v>10</v>
      </c>
      <c r="B15" s="57" t="s">
        <v>15</v>
      </c>
      <c r="C15" s="57">
        <v>20</v>
      </c>
      <c r="D15" s="57">
        <v>14</v>
      </c>
      <c r="E15" s="57">
        <v>1</v>
      </c>
      <c r="F15" s="190">
        <f t="shared" si="0"/>
        <v>35</v>
      </c>
      <c r="G15" s="57">
        <v>0</v>
      </c>
      <c r="H15" s="57">
        <v>51</v>
      </c>
      <c r="I15" s="57">
        <v>8</v>
      </c>
      <c r="J15" s="190">
        <f t="shared" si="1"/>
        <v>59</v>
      </c>
      <c r="K15" s="57">
        <v>22</v>
      </c>
      <c r="L15" s="57">
        <v>36</v>
      </c>
      <c r="M15" s="57">
        <v>52</v>
      </c>
      <c r="N15" s="190">
        <f t="shared" si="2"/>
        <v>110</v>
      </c>
      <c r="O15" s="19"/>
      <c r="P15" s="19"/>
      <c r="Q15" s="19"/>
      <c r="T15" s="19"/>
    </row>
    <row r="16" spans="1:20" ht="12.75">
      <c r="A16" s="54">
        <v>11</v>
      </c>
      <c r="B16" s="57" t="s">
        <v>16</v>
      </c>
      <c r="C16" s="57">
        <v>3</v>
      </c>
      <c r="D16" s="57">
        <v>8</v>
      </c>
      <c r="E16" s="57">
        <v>0</v>
      </c>
      <c r="F16" s="190">
        <f t="shared" si="0"/>
        <v>11</v>
      </c>
      <c r="G16" s="57">
        <v>0</v>
      </c>
      <c r="H16" s="57">
        <v>82</v>
      </c>
      <c r="I16" s="57">
        <v>5</v>
      </c>
      <c r="J16" s="190">
        <f t="shared" si="1"/>
        <v>87</v>
      </c>
      <c r="K16" s="57">
        <v>30</v>
      </c>
      <c r="L16" s="57">
        <v>152</v>
      </c>
      <c r="M16" s="57">
        <v>49</v>
      </c>
      <c r="N16" s="190">
        <f t="shared" si="2"/>
        <v>231</v>
      </c>
      <c r="O16" s="19">
        <v>0</v>
      </c>
      <c r="P16" s="19"/>
      <c r="Q16" s="19"/>
      <c r="T16" s="19"/>
    </row>
    <row r="17" spans="1:20" ht="12.75">
      <c r="A17" s="54">
        <v>12</v>
      </c>
      <c r="B17" s="57" t="s">
        <v>17</v>
      </c>
      <c r="C17" s="57">
        <v>270</v>
      </c>
      <c r="D17" s="57">
        <v>519</v>
      </c>
      <c r="E17" s="57">
        <v>33</v>
      </c>
      <c r="F17" s="190">
        <f t="shared" si="0"/>
        <v>822</v>
      </c>
      <c r="G17" s="57">
        <v>331</v>
      </c>
      <c r="H17" s="57">
        <v>916</v>
      </c>
      <c r="I17" s="57">
        <v>331</v>
      </c>
      <c r="J17" s="190">
        <f t="shared" si="1"/>
        <v>1578</v>
      </c>
      <c r="K17" s="57">
        <v>397</v>
      </c>
      <c r="L17" s="57">
        <v>544</v>
      </c>
      <c r="M17" s="57">
        <v>173</v>
      </c>
      <c r="N17" s="190">
        <f t="shared" si="2"/>
        <v>1114</v>
      </c>
      <c r="O17" s="19"/>
      <c r="P17" s="19"/>
      <c r="Q17" s="19"/>
      <c r="T17" s="19"/>
    </row>
    <row r="18" spans="1:20" ht="12.75">
      <c r="A18" s="54">
        <v>13</v>
      </c>
      <c r="B18" s="57" t="s">
        <v>164</v>
      </c>
      <c r="C18" s="57">
        <v>102</v>
      </c>
      <c r="D18" s="57">
        <v>248</v>
      </c>
      <c r="E18" s="57">
        <v>3</v>
      </c>
      <c r="F18" s="190">
        <f t="shared" si="0"/>
        <v>353</v>
      </c>
      <c r="G18" s="57">
        <v>185</v>
      </c>
      <c r="H18" s="57">
        <v>201</v>
      </c>
      <c r="I18" s="57">
        <v>0</v>
      </c>
      <c r="J18" s="190">
        <f t="shared" si="1"/>
        <v>386</v>
      </c>
      <c r="K18" s="57">
        <v>18</v>
      </c>
      <c r="L18" s="57">
        <v>16</v>
      </c>
      <c r="M18" s="57">
        <v>0</v>
      </c>
      <c r="N18" s="190">
        <f t="shared" si="2"/>
        <v>34</v>
      </c>
      <c r="O18" s="19"/>
      <c r="P18" s="19"/>
      <c r="Q18" s="19"/>
      <c r="T18" s="19"/>
    </row>
    <row r="19" spans="1:20" ht="12.75">
      <c r="A19" s="54">
        <v>14</v>
      </c>
      <c r="B19" s="57" t="s">
        <v>77</v>
      </c>
      <c r="C19" s="57">
        <v>5873</v>
      </c>
      <c r="D19" s="57">
        <v>1492</v>
      </c>
      <c r="E19" s="57">
        <v>2427</v>
      </c>
      <c r="F19" s="190">
        <f t="shared" si="0"/>
        <v>9792</v>
      </c>
      <c r="G19" s="57">
        <v>486</v>
      </c>
      <c r="H19" s="57">
        <v>4858</v>
      </c>
      <c r="I19" s="57">
        <v>8448</v>
      </c>
      <c r="J19" s="190">
        <f t="shared" si="1"/>
        <v>13792</v>
      </c>
      <c r="K19" s="57">
        <v>709</v>
      </c>
      <c r="L19" s="57">
        <v>1502</v>
      </c>
      <c r="M19" s="57">
        <v>609</v>
      </c>
      <c r="N19" s="190">
        <f t="shared" si="2"/>
        <v>2820</v>
      </c>
      <c r="O19" s="19"/>
      <c r="P19" s="19"/>
      <c r="Q19" s="19"/>
      <c r="T19" s="19"/>
    </row>
    <row r="20" spans="1:20" ht="12.75">
      <c r="A20" s="54">
        <v>15</v>
      </c>
      <c r="B20" s="57" t="s">
        <v>105</v>
      </c>
      <c r="C20" s="57">
        <v>163</v>
      </c>
      <c r="D20" s="57">
        <v>168</v>
      </c>
      <c r="E20" s="57">
        <v>15</v>
      </c>
      <c r="F20" s="190">
        <f t="shared" si="0"/>
        <v>346</v>
      </c>
      <c r="G20" s="57">
        <v>197</v>
      </c>
      <c r="H20" s="57">
        <v>694</v>
      </c>
      <c r="I20" s="57">
        <v>172</v>
      </c>
      <c r="J20" s="190">
        <f t="shared" si="1"/>
        <v>1063</v>
      </c>
      <c r="K20" s="57">
        <v>166</v>
      </c>
      <c r="L20" s="57">
        <v>1019</v>
      </c>
      <c r="M20" s="57">
        <v>269</v>
      </c>
      <c r="N20" s="190">
        <f t="shared" si="2"/>
        <v>1454</v>
      </c>
      <c r="O20" s="19">
        <v>0</v>
      </c>
      <c r="P20" s="19"/>
      <c r="Q20" s="19"/>
      <c r="T20" s="19"/>
    </row>
    <row r="21" spans="1:20" ht="12.75">
      <c r="A21" s="54">
        <v>16</v>
      </c>
      <c r="B21" s="57" t="s">
        <v>20</v>
      </c>
      <c r="C21" s="57">
        <v>655</v>
      </c>
      <c r="D21" s="57">
        <v>2276</v>
      </c>
      <c r="E21" s="57">
        <v>10</v>
      </c>
      <c r="F21" s="190">
        <f>C21+D21+E21</f>
        <v>2941</v>
      </c>
      <c r="G21" s="57">
        <v>251</v>
      </c>
      <c r="H21" s="57">
        <v>933</v>
      </c>
      <c r="I21" s="57">
        <v>65</v>
      </c>
      <c r="J21" s="190">
        <f t="shared" si="1"/>
        <v>1249</v>
      </c>
      <c r="K21" s="57">
        <v>456</v>
      </c>
      <c r="L21" s="57">
        <v>1119</v>
      </c>
      <c r="M21" s="57">
        <v>38</v>
      </c>
      <c r="N21" s="190">
        <f t="shared" si="2"/>
        <v>1613</v>
      </c>
      <c r="O21" s="552">
        <v>0</v>
      </c>
      <c r="P21" s="19"/>
      <c r="Q21" s="19"/>
      <c r="T21" s="19"/>
    </row>
    <row r="22" spans="1:20" ht="12.75">
      <c r="A22" s="54">
        <v>17</v>
      </c>
      <c r="B22" s="57" t="s">
        <v>21</v>
      </c>
      <c r="C22" s="57">
        <v>2072</v>
      </c>
      <c r="D22" s="57">
        <v>2561</v>
      </c>
      <c r="E22" s="57">
        <v>228</v>
      </c>
      <c r="F22" s="190">
        <f t="shared" si="0"/>
        <v>4861</v>
      </c>
      <c r="G22" s="57">
        <v>1603</v>
      </c>
      <c r="H22" s="57">
        <v>1817</v>
      </c>
      <c r="I22" s="57">
        <v>1745</v>
      </c>
      <c r="J22" s="190">
        <f t="shared" si="1"/>
        <v>5165</v>
      </c>
      <c r="K22" s="57">
        <v>1276</v>
      </c>
      <c r="L22" s="57">
        <v>992</v>
      </c>
      <c r="M22" s="57">
        <v>519</v>
      </c>
      <c r="N22" s="190">
        <f t="shared" si="2"/>
        <v>2787</v>
      </c>
      <c r="O22" s="19">
        <v>0</v>
      </c>
      <c r="P22" s="19"/>
      <c r="Q22" s="19"/>
      <c r="T22" s="19"/>
    </row>
    <row r="23" spans="1:20" ht="12.75">
      <c r="A23" s="54">
        <v>18</v>
      </c>
      <c r="B23" s="57" t="s">
        <v>19</v>
      </c>
      <c r="C23" s="57">
        <v>0</v>
      </c>
      <c r="D23" s="57">
        <v>7</v>
      </c>
      <c r="E23" s="57">
        <v>5</v>
      </c>
      <c r="F23" s="190">
        <f t="shared" si="0"/>
        <v>12</v>
      </c>
      <c r="G23" s="57">
        <v>0</v>
      </c>
      <c r="H23" s="57">
        <v>4</v>
      </c>
      <c r="I23" s="57">
        <v>0</v>
      </c>
      <c r="J23" s="190">
        <f t="shared" si="1"/>
        <v>4</v>
      </c>
      <c r="K23" s="57">
        <v>0</v>
      </c>
      <c r="L23" s="57">
        <v>42</v>
      </c>
      <c r="M23" s="57">
        <v>0</v>
      </c>
      <c r="N23" s="190">
        <f t="shared" si="2"/>
        <v>42</v>
      </c>
      <c r="O23" s="19"/>
      <c r="P23" s="19"/>
      <c r="Q23" s="19"/>
      <c r="T23" s="19"/>
    </row>
    <row r="24" spans="1:20" ht="12.75">
      <c r="A24" s="54">
        <v>19</v>
      </c>
      <c r="B24" s="57" t="s">
        <v>124</v>
      </c>
      <c r="C24" s="57">
        <v>7</v>
      </c>
      <c r="D24" s="57">
        <v>7</v>
      </c>
      <c r="E24" s="57">
        <v>3</v>
      </c>
      <c r="F24" s="190">
        <f t="shared" si="0"/>
        <v>17</v>
      </c>
      <c r="G24" s="57">
        <v>72</v>
      </c>
      <c r="H24" s="57">
        <v>79</v>
      </c>
      <c r="I24" s="57">
        <v>6</v>
      </c>
      <c r="J24" s="190">
        <f t="shared" si="1"/>
        <v>157</v>
      </c>
      <c r="K24" s="57">
        <v>134</v>
      </c>
      <c r="L24" s="57">
        <v>118</v>
      </c>
      <c r="M24" s="57">
        <v>26</v>
      </c>
      <c r="N24" s="190">
        <f t="shared" si="2"/>
        <v>278</v>
      </c>
      <c r="O24" s="19">
        <v>0</v>
      </c>
      <c r="P24" s="19"/>
      <c r="Q24" s="19"/>
      <c r="T24" s="19"/>
    </row>
    <row r="25" spans="1:20" s="232" customFormat="1" ht="14.25">
      <c r="A25" s="203"/>
      <c r="B25" s="164" t="s">
        <v>224</v>
      </c>
      <c r="C25" s="164">
        <f aca="true" t="shared" si="3" ref="C25:M25">SUM(C6:C24)</f>
        <v>15506</v>
      </c>
      <c r="D25" s="164">
        <f t="shared" si="3"/>
        <v>17976</v>
      </c>
      <c r="E25" s="164">
        <f t="shared" si="3"/>
        <v>3407</v>
      </c>
      <c r="F25" s="197">
        <f t="shared" si="0"/>
        <v>36889</v>
      </c>
      <c r="G25" s="164">
        <f t="shared" si="3"/>
        <v>7365</v>
      </c>
      <c r="H25" s="164">
        <f t="shared" si="3"/>
        <v>18673</v>
      </c>
      <c r="I25" s="164">
        <f t="shared" si="3"/>
        <v>12806</v>
      </c>
      <c r="J25" s="197">
        <f t="shared" si="1"/>
        <v>38844</v>
      </c>
      <c r="K25" s="164">
        <f t="shared" si="3"/>
        <v>10124</v>
      </c>
      <c r="L25" s="164">
        <f t="shared" si="3"/>
        <v>14404</v>
      </c>
      <c r="M25" s="164">
        <f t="shared" si="3"/>
        <v>4567</v>
      </c>
      <c r="N25" s="197">
        <f aca="true" t="shared" si="4" ref="N25:N44">K25+L25+M25</f>
        <v>29095</v>
      </c>
      <c r="O25" s="209"/>
      <c r="P25" s="209"/>
      <c r="Q25" s="209"/>
      <c r="R25" s="209"/>
      <c r="T25" s="209"/>
    </row>
    <row r="26" spans="1:20" ht="12.75">
      <c r="A26" s="54">
        <v>20</v>
      </c>
      <c r="B26" s="57" t="s">
        <v>23</v>
      </c>
      <c r="C26" s="57">
        <v>0</v>
      </c>
      <c r="D26" s="57">
        <v>0</v>
      </c>
      <c r="E26" s="57">
        <v>0</v>
      </c>
      <c r="F26" s="190">
        <f t="shared" si="0"/>
        <v>0</v>
      </c>
      <c r="G26" s="57">
        <v>8</v>
      </c>
      <c r="H26" s="57">
        <v>116</v>
      </c>
      <c r="I26" s="57">
        <v>0</v>
      </c>
      <c r="J26" s="190">
        <f t="shared" si="1"/>
        <v>124</v>
      </c>
      <c r="K26" s="57">
        <v>34</v>
      </c>
      <c r="L26" s="57">
        <v>40</v>
      </c>
      <c r="M26" s="57">
        <v>17</v>
      </c>
      <c r="N26" s="190">
        <f t="shared" si="4"/>
        <v>91</v>
      </c>
      <c r="O26" s="19"/>
      <c r="P26" s="19"/>
      <c r="Q26" s="19"/>
      <c r="T26" s="19"/>
    </row>
    <row r="27" spans="1:20" ht="12.75">
      <c r="A27" s="54">
        <v>21</v>
      </c>
      <c r="B27" s="57" t="s">
        <v>269</v>
      </c>
      <c r="C27" s="57">
        <v>0</v>
      </c>
      <c r="D27" s="57">
        <v>0</v>
      </c>
      <c r="E27" s="57">
        <v>0</v>
      </c>
      <c r="F27" s="190">
        <f t="shared" si="0"/>
        <v>0</v>
      </c>
      <c r="G27" s="57">
        <v>43</v>
      </c>
      <c r="H27" s="57">
        <v>13</v>
      </c>
      <c r="I27" s="57">
        <v>2</v>
      </c>
      <c r="J27" s="190">
        <f t="shared" si="1"/>
        <v>58</v>
      </c>
      <c r="K27" s="57">
        <v>884</v>
      </c>
      <c r="L27" s="57">
        <v>25</v>
      </c>
      <c r="M27" s="57">
        <v>22</v>
      </c>
      <c r="N27" s="190">
        <f t="shared" si="4"/>
        <v>931</v>
      </c>
      <c r="O27" s="19"/>
      <c r="P27" s="19"/>
      <c r="Q27" s="19"/>
      <c r="T27" s="19"/>
    </row>
    <row r="28" spans="1:20" ht="12.75">
      <c r="A28" s="54">
        <v>22</v>
      </c>
      <c r="B28" s="57" t="s">
        <v>169</v>
      </c>
      <c r="C28" s="57">
        <v>0</v>
      </c>
      <c r="D28" s="57">
        <v>0</v>
      </c>
      <c r="E28" s="57">
        <v>0</v>
      </c>
      <c r="F28" s="190">
        <f t="shared" si="0"/>
        <v>0</v>
      </c>
      <c r="G28" s="57">
        <v>3</v>
      </c>
      <c r="H28" s="57">
        <v>17</v>
      </c>
      <c r="I28" s="57">
        <v>18</v>
      </c>
      <c r="J28" s="190">
        <f t="shared" si="1"/>
        <v>38</v>
      </c>
      <c r="K28" s="57">
        <v>131</v>
      </c>
      <c r="L28" s="57">
        <v>16</v>
      </c>
      <c r="M28" s="57">
        <v>50</v>
      </c>
      <c r="N28" s="190">
        <f t="shared" si="4"/>
        <v>197</v>
      </c>
      <c r="O28" s="19"/>
      <c r="P28" s="19"/>
      <c r="Q28" s="19"/>
      <c r="T28" s="19"/>
    </row>
    <row r="29" spans="1:20" ht="12.75">
      <c r="A29" s="54">
        <v>23</v>
      </c>
      <c r="B29" s="57" t="s">
        <v>22</v>
      </c>
      <c r="C29" s="57">
        <v>0</v>
      </c>
      <c r="D29" s="57">
        <v>0</v>
      </c>
      <c r="E29" s="57">
        <v>0</v>
      </c>
      <c r="F29" s="190">
        <f t="shared" si="0"/>
        <v>0</v>
      </c>
      <c r="G29" s="57">
        <v>12</v>
      </c>
      <c r="H29" s="57">
        <v>4</v>
      </c>
      <c r="I29" s="57">
        <v>0</v>
      </c>
      <c r="J29" s="190">
        <f t="shared" si="1"/>
        <v>16</v>
      </c>
      <c r="K29" s="57">
        <v>25</v>
      </c>
      <c r="L29" s="57">
        <v>38</v>
      </c>
      <c r="M29" s="57">
        <v>0</v>
      </c>
      <c r="N29" s="190">
        <f t="shared" si="4"/>
        <v>63</v>
      </c>
      <c r="O29" s="19"/>
      <c r="P29" s="19"/>
      <c r="Q29" s="19"/>
      <c r="T29" s="19"/>
    </row>
    <row r="30" spans="1:20" ht="12.75">
      <c r="A30" s="54">
        <v>24</v>
      </c>
      <c r="B30" s="57" t="s">
        <v>141</v>
      </c>
      <c r="C30" s="57">
        <v>155</v>
      </c>
      <c r="D30" s="57">
        <v>0</v>
      </c>
      <c r="E30" s="57">
        <v>0</v>
      </c>
      <c r="F30" s="190">
        <f t="shared" si="0"/>
        <v>155</v>
      </c>
      <c r="G30" s="57">
        <v>499</v>
      </c>
      <c r="H30" s="57">
        <v>2</v>
      </c>
      <c r="I30" s="57">
        <v>7</v>
      </c>
      <c r="J30" s="190">
        <f t="shared" si="1"/>
        <v>508</v>
      </c>
      <c r="K30" s="57">
        <v>71</v>
      </c>
      <c r="L30" s="57">
        <v>42</v>
      </c>
      <c r="M30" s="57">
        <v>42</v>
      </c>
      <c r="N30" s="190">
        <f t="shared" si="4"/>
        <v>155</v>
      </c>
      <c r="O30" s="19">
        <v>164.7</v>
      </c>
      <c r="P30" s="19"/>
      <c r="Q30" s="20"/>
      <c r="R30" s="501"/>
      <c r="S30" s="105"/>
      <c r="T30" s="20"/>
    </row>
    <row r="31" spans="1:20" ht="12.75">
      <c r="A31" s="54">
        <v>25</v>
      </c>
      <c r="B31" s="57" t="s">
        <v>18</v>
      </c>
      <c r="C31" s="57">
        <v>10094</v>
      </c>
      <c r="D31" s="57">
        <v>4310</v>
      </c>
      <c r="E31" s="57">
        <v>2399</v>
      </c>
      <c r="F31" s="190">
        <f t="shared" si="0"/>
        <v>16803</v>
      </c>
      <c r="G31" s="57">
        <v>6959</v>
      </c>
      <c r="H31" s="57">
        <v>5388</v>
      </c>
      <c r="I31" s="57">
        <v>2355</v>
      </c>
      <c r="J31" s="190">
        <f t="shared" si="1"/>
        <v>14702</v>
      </c>
      <c r="K31" s="57">
        <v>5748</v>
      </c>
      <c r="L31" s="57">
        <v>3823</v>
      </c>
      <c r="M31" s="57">
        <v>798</v>
      </c>
      <c r="N31" s="190">
        <f t="shared" si="4"/>
        <v>10369</v>
      </c>
      <c r="O31" s="19">
        <v>0</v>
      </c>
      <c r="P31" s="19"/>
      <c r="Q31" s="19"/>
      <c r="T31" s="19"/>
    </row>
    <row r="32" spans="1:20" ht="12.75">
      <c r="A32" s="54">
        <v>26</v>
      </c>
      <c r="B32" s="57" t="s">
        <v>104</v>
      </c>
      <c r="C32" s="57">
        <v>620</v>
      </c>
      <c r="D32" s="57">
        <v>652</v>
      </c>
      <c r="E32" s="57">
        <v>162</v>
      </c>
      <c r="F32" s="190">
        <f t="shared" si="0"/>
        <v>1434</v>
      </c>
      <c r="G32" s="57">
        <v>6296</v>
      </c>
      <c r="H32" s="57">
        <v>1695</v>
      </c>
      <c r="I32" s="57">
        <v>1486</v>
      </c>
      <c r="J32" s="190">
        <f t="shared" si="1"/>
        <v>9477</v>
      </c>
      <c r="K32" s="57">
        <v>1094</v>
      </c>
      <c r="L32" s="57">
        <v>627</v>
      </c>
      <c r="M32" s="57">
        <v>77</v>
      </c>
      <c r="N32" s="190">
        <f t="shared" si="4"/>
        <v>1798</v>
      </c>
      <c r="O32" s="19">
        <v>0</v>
      </c>
      <c r="P32" s="19"/>
      <c r="Q32" s="19"/>
      <c r="T32" s="19"/>
    </row>
    <row r="33" spans="1:20" s="232" customFormat="1" ht="14.25">
      <c r="A33" s="203"/>
      <c r="B33" s="164" t="s">
        <v>226</v>
      </c>
      <c r="C33" s="164">
        <f aca="true" t="shared" si="5" ref="C33:M33">SUM(C26:C32)</f>
        <v>10869</v>
      </c>
      <c r="D33" s="164">
        <f t="shared" si="5"/>
        <v>4962</v>
      </c>
      <c r="E33" s="164">
        <f t="shared" si="5"/>
        <v>2561</v>
      </c>
      <c r="F33" s="197">
        <f t="shared" si="0"/>
        <v>18392</v>
      </c>
      <c r="G33" s="164">
        <f t="shared" si="5"/>
        <v>13820</v>
      </c>
      <c r="H33" s="164">
        <f t="shared" si="5"/>
        <v>7235</v>
      </c>
      <c r="I33" s="164">
        <f t="shared" si="5"/>
        <v>3868</v>
      </c>
      <c r="J33" s="197">
        <f t="shared" si="1"/>
        <v>24923</v>
      </c>
      <c r="K33" s="164">
        <f t="shared" si="5"/>
        <v>7987</v>
      </c>
      <c r="L33" s="164">
        <f t="shared" si="5"/>
        <v>4611</v>
      </c>
      <c r="M33" s="164">
        <f t="shared" si="5"/>
        <v>1006</v>
      </c>
      <c r="N33" s="197">
        <f t="shared" si="4"/>
        <v>13604</v>
      </c>
      <c r="O33" s="209"/>
      <c r="P33" s="209"/>
      <c r="Q33" s="209"/>
      <c r="R33" s="209"/>
      <c r="T33" s="209"/>
    </row>
    <row r="34" spans="1:20" ht="12.75">
      <c r="A34" s="54">
        <v>27</v>
      </c>
      <c r="B34" s="57" t="s">
        <v>163</v>
      </c>
      <c r="C34" s="57">
        <v>50</v>
      </c>
      <c r="D34" s="57">
        <v>21</v>
      </c>
      <c r="E34" s="57">
        <v>10</v>
      </c>
      <c r="F34" s="190">
        <f t="shared" si="0"/>
        <v>81</v>
      </c>
      <c r="G34" s="57">
        <v>10</v>
      </c>
      <c r="H34" s="57">
        <v>11</v>
      </c>
      <c r="I34" s="57">
        <v>30</v>
      </c>
      <c r="J34" s="190">
        <f t="shared" si="1"/>
        <v>51</v>
      </c>
      <c r="K34" s="57">
        <v>69</v>
      </c>
      <c r="L34" s="57">
        <v>125</v>
      </c>
      <c r="M34" s="57">
        <v>48</v>
      </c>
      <c r="N34" s="190">
        <f t="shared" si="4"/>
        <v>242</v>
      </c>
      <c r="O34" s="19">
        <v>0</v>
      </c>
      <c r="P34" s="19"/>
      <c r="Q34" s="19"/>
      <c r="T34" s="19"/>
    </row>
    <row r="35" spans="1:20" ht="12.75">
      <c r="A35" s="54">
        <v>28</v>
      </c>
      <c r="B35" s="57" t="s">
        <v>231</v>
      </c>
      <c r="C35" s="57">
        <v>0</v>
      </c>
      <c r="D35" s="57">
        <v>0</v>
      </c>
      <c r="E35" s="57">
        <v>0</v>
      </c>
      <c r="F35" s="190">
        <f>C35+D35+E35</f>
        <v>0</v>
      </c>
      <c r="G35" s="57">
        <v>0</v>
      </c>
      <c r="H35" s="57">
        <v>0</v>
      </c>
      <c r="I35" s="57">
        <v>0</v>
      </c>
      <c r="J35" s="190">
        <f>G35+H35+I35</f>
        <v>0</v>
      </c>
      <c r="K35" s="57">
        <v>0</v>
      </c>
      <c r="L35" s="57">
        <v>0</v>
      </c>
      <c r="M35" s="57">
        <v>0</v>
      </c>
      <c r="N35" s="190">
        <f>K35+L35+M35</f>
        <v>0</v>
      </c>
      <c r="O35" s="19"/>
      <c r="P35" s="19"/>
      <c r="Q35" s="19"/>
      <c r="T35" s="19"/>
    </row>
    <row r="36" spans="1:20" ht="12.75">
      <c r="A36" s="54">
        <v>29</v>
      </c>
      <c r="B36" s="57" t="s">
        <v>218</v>
      </c>
      <c r="C36" s="57">
        <v>0</v>
      </c>
      <c r="D36" s="57">
        <v>0</v>
      </c>
      <c r="E36" s="57">
        <v>0</v>
      </c>
      <c r="F36" s="190">
        <f t="shared" si="0"/>
        <v>0</v>
      </c>
      <c r="G36" s="57">
        <v>0</v>
      </c>
      <c r="H36" s="57">
        <v>0</v>
      </c>
      <c r="I36" s="57">
        <v>0</v>
      </c>
      <c r="J36" s="190">
        <f t="shared" si="1"/>
        <v>0</v>
      </c>
      <c r="K36" s="57">
        <v>0</v>
      </c>
      <c r="L36" s="57">
        <v>0</v>
      </c>
      <c r="M36" s="57">
        <v>0</v>
      </c>
      <c r="N36" s="190">
        <f t="shared" si="4"/>
        <v>0</v>
      </c>
      <c r="O36" s="19"/>
      <c r="P36" s="19"/>
      <c r="Q36" s="19"/>
      <c r="T36" s="19"/>
    </row>
    <row r="37" spans="1:20" ht="12.75">
      <c r="A37" s="54">
        <v>30</v>
      </c>
      <c r="B37" s="57" t="s">
        <v>236</v>
      </c>
      <c r="C37" s="57">
        <v>126</v>
      </c>
      <c r="D37" s="57">
        <v>34</v>
      </c>
      <c r="E37" s="57">
        <v>690</v>
      </c>
      <c r="F37" s="190">
        <f t="shared" si="0"/>
        <v>850</v>
      </c>
      <c r="G37" s="57">
        <v>119</v>
      </c>
      <c r="H37" s="57">
        <v>30</v>
      </c>
      <c r="I37" s="57">
        <v>0</v>
      </c>
      <c r="J37" s="190">
        <f t="shared" si="1"/>
        <v>149</v>
      </c>
      <c r="K37" s="57">
        <v>94</v>
      </c>
      <c r="L37" s="57">
        <v>78</v>
      </c>
      <c r="M37" s="57">
        <v>0</v>
      </c>
      <c r="N37" s="190">
        <f t="shared" si="4"/>
        <v>172</v>
      </c>
      <c r="O37" s="19">
        <v>0</v>
      </c>
      <c r="P37" s="19"/>
      <c r="Q37" s="19"/>
      <c r="T37" s="19"/>
    </row>
    <row r="38" spans="1:20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190">
        <f t="shared" si="0"/>
        <v>0</v>
      </c>
      <c r="G38" s="57">
        <v>0</v>
      </c>
      <c r="H38" s="57">
        <v>0</v>
      </c>
      <c r="I38" s="57">
        <v>0</v>
      </c>
      <c r="J38" s="190">
        <f t="shared" si="1"/>
        <v>0</v>
      </c>
      <c r="K38" s="57">
        <v>0</v>
      </c>
      <c r="L38" s="57">
        <v>0</v>
      </c>
      <c r="M38" s="57">
        <v>0</v>
      </c>
      <c r="N38" s="190">
        <f t="shared" si="4"/>
        <v>0</v>
      </c>
      <c r="O38" s="19"/>
      <c r="P38" s="19"/>
      <c r="Q38" s="19"/>
      <c r="T38" s="19"/>
    </row>
    <row r="39" spans="1:20" ht="12.75">
      <c r="A39" s="54">
        <v>32</v>
      </c>
      <c r="B39" s="57" t="s">
        <v>220</v>
      </c>
      <c r="C39" s="57">
        <v>18</v>
      </c>
      <c r="D39" s="57">
        <v>0</v>
      </c>
      <c r="E39" s="57">
        <v>0</v>
      </c>
      <c r="F39" s="190">
        <f t="shared" si="0"/>
        <v>18</v>
      </c>
      <c r="G39" s="57">
        <v>39</v>
      </c>
      <c r="H39" s="57">
        <v>0</v>
      </c>
      <c r="I39" s="57">
        <v>0</v>
      </c>
      <c r="J39" s="190">
        <f t="shared" si="1"/>
        <v>39</v>
      </c>
      <c r="K39" s="57">
        <v>0</v>
      </c>
      <c r="L39" s="57">
        <v>0</v>
      </c>
      <c r="M39" s="57">
        <v>0</v>
      </c>
      <c r="N39" s="190">
        <f t="shared" si="4"/>
        <v>0</v>
      </c>
      <c r="O39" s="19">
        <v>0</v>
      </c>
      <c r="P39" s="19"/>
      <c r="Q39" s="19"/>
      <c r="T39" s="19"/>
    </row>
    <row r="40" spans="1:20" ht="12.75">
      <c r="A40" s="110">
        <v>33</v>
      </c>
      <c r="B40" s="111" t="s">
        <v>363</v>
      </c>
      <c r="C40" s="57">
        <v>0</v>
      </c>
      <c r="D40" s="57">
        <v>0</v>
      </c>
      <c r="E40" s="57">
        <v>0</v>
      </c>
      <c r="F40" s="190">
        <f t="shared" si="0"/>
        <v>0</v>
      </c>
      <c r="G40" s="57">
        <v>0</v>
      </c>
      <c r="H40" s="57">
        <v>0</v>
      </c>
      <c r="I40" s="57">
        <v>0</v>
      </c>
      <c r="J40" s="190">
        <f t="shared" si="1"/>
        <v>0</v>
      </c>
      <c r="K40" s="57">
        <v>0</v>
      </c>
      <c r="L40" s="57">
        <v>0</v>
      </c>
      <c r="M40" s="57">
        <v>0</v>
      </c>
      <c r="N40" s="190">
        <f t="shared" si="4"/>
        <v>0</v>
      </c>
      <c r="O40" s="19"/>
      <c r="P40" s="19"/>
      <c r="Q40" s="19"/>
      <c r="T40" s="19"/>
    </row>
    <row r="41" spans="1:20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190">
        <f t="shared" si="0"/>
        <v>0</v>
      </c>
      <c r="G41" s="57">
        <v>0</v>
      </c>
      <c r="H41" s="57">
        <v>0</v>
      </c>
      <c r="I41" s="57">
        <v>0</v>
      </c>
      <c r="J41" s="190">
        <f t="shared" si="1"/>
        <v>0</v>
      </c>
      <c r="K41" s="57">
        <v>0</v>
      </c>
      <c r="L41" s="57">
        <v>0</v>
      </c>
      <c r="M41" s="57">
        <v>0</v>
      </c>
      <c r="N41" s="190">
        <f t="shared" si="4"/>
        <v>0</v>
      </c>
      <c r="O41" s="19"/>
      <c r="P41" s="19"/>
      <c r="Q41" s="19"/>
      <c r="T41" s="19"/>
    </row>
    <row r="42" spans="1:20" ht="12.75">
      <c r="A42" s="54">
        <v>35</v>
      </c>
      <c r="B42" s="57" t="s">
        <v>256</v>
      </c>
      <c r="C42" s="57">
        <v>0</v>
      </c>
      <c r="D42" s="57">
        <v>0</v>
      </c>
      <c r="E42" s="57">
        <v>0</v>
      </c>
      <c r="F42" s="190">
        <f t="shared" si="0"/>
        <v>0</v>
      </c>
      <c r="G42" s="57">
        <v>0</v>
      </c>
      <c r="H42" s="57">
        <v>2</v>
      </c>
      <c r="I42" s="57">
        <v>0</v>
      </c>
      <c r="J42" s="190">
        <f t="shared" si="1"/>
        <v>2</v>
      </c>
      <c r="K42" s="57">
        <v>0</v>
      </c>
      <c r="L42" s="57">
        <v>0</v>
      </c>
      <c r="M42" s="57">
        <v>8</v>
      </c>
      <c r="N42" s="190">
        <f t="shared" si="4"/>
        <v>8</v>
      </c>
      <c r="O42" s="19">
        <v>0</v>
      </c>
      <c r="P42" s="19"/>
      <c r="Q42" s="19"/>
      <c r="T42" s="19"/>
    </row>
    <row r="43" spans="1:20" ht="12.75">
      <c r="A43" s="54">
        <v>36</v>
      </c>
      <c r="B43" s="57" t="s">
        <v>24</v>
      </c>
      <c r="C43" s="57">
        <v>0</v>
      </c>
      <c r="D43" s="57">
        <v>12</v>
      </c>
      <c r="E43" s="57">
        <v>61</v>
      </c>
      <c r="F43" s="190">
        <f t="shared" si="0"/>
        <v>73</v>
      </c>
      <c r="G43" s="57">
        <v>0</v>
      </c>
      <c r="H43" s="57">
        <v>114</v>
      </c>
      <c r="I43" s="57">
        <v>0</v>
      </c>
      <c r="J43" s="190">
        <f t="shared" si="1"/>
        <v>114</v>
      </c>
      <c r="K43" s="57">
        <v>22</v>
      </c>
      <c r="L43" s="57">
        <v>25</v>
      </c>
      <c r="M43" s="57">
        <v>1</v>
      </c>
      <c r="N43" s="190">
        <f t="shared" si="4"/>
        <v>48</v>
      </c>
      <c r="O43" s="19">
        <v>64.48</v>
      </c>
      <c r="P43" s="19"/>
      <c r="Q43" s="19"/>
      <c r="T43" s="19"/>
    </row>
    <row r="44" spans="1:20" ht="12.75">
      <c r="A44" s="54">
        <v>37</v>
      </c>
      <c r="B44" s="57" t="s">
        <v>223</v>
      </c>
      <c r="C44" s="57">
        <v>0</v>
      </c>
      <c r="D44" s="57">
        <v>0</v>
      </c>
      <c r="E44" s="57">
        <v>0</v>
      </c>
      <c r="F44" s="190">
        <f t="shared" si="0"/>
        <v>0</v>
      </c>
      <c r="G44" s="57">
        <v>0</v>
      </c>
      <c r="H44" s="57">
        <v>0</v>
      </c>
      <c r="I44" s="57">
        <v>0</v>
      </c>
      <c r="J44" s="190">
        <f t="shared" si="1"/>
        <v>0</v>
      </c>
      <c r="K44" s="57">
        <v>10</v>
      </c>
      <c r="L44" s="57">
        <v>0</v>
      </c>
      <c r="M44" s="57">
        <v>0</v>
      </c>
      <c r="N44" s="190">
        <f t="shared" si="4"/>
        <v>10</v>
      </c>
      <c r="O44" s="19">
        <v>0</v>
      </c>
      <c r="P44" s="19"/>
      <c r="Q44" s="19"/>
      <c r="T44" s="19"/>
    </row>
    <row r="45" spans="1:20" ht="12.75">
      <c r="A45" s="54">
        <v>38</v>
      </c>
      <c r="B45" s="57" t="s">
        <v>364</v>
      </c>
      <c r="C45" s="57">
        <v>0</v>
      </c>
      <c r="D45" s="57">
        <v>0</v>
      </c>
      <c r="E45" s="57">
        <v>0</v>
      </c>
      <c r="F45" s="190">
        <f>C45+D45+E45</f>
        <v>0</v>
      </c>
      <c r="G45" s="57">
        <v>0</v>
      </c>
      <c r="H45" s="57">
        <v>0</v>
      </c>
      <c r="I45" s="57">
        <v>0</v>
      </c>
      <c r="J45" s="190">
        <f>G45+H45+I45</f>
        <v>0</v>
      </c>
      <c r="K45" s="57">
        <v>0</v>
      </c>
      <c r="L45" s="57">
        <v>0</v>
      </c>
      <c r="M45" s="57">
        <v>0</v>
      </c>
      <c r="N45" s="190">
        <f>K45+L45+M45</f>
        <v>0</v>
      </c>
      <c r="O45" s="19"/>
      <c r="P45" s="19"/>
      <c r="Q45" s="19"/>
      <c r="T45" s="19"/>
    </row>
    <row r="46" spans="1:20" ht="12.75">
      <c r="A46" s="54">
        <v>39</v>
      </c>
      <c r="B46" s="57" t="s">
        <v>366</v>
      </c>
      <c r="C46" s="57">
        <v>678</v>
      </c>
      <c r="D46" s="57">
        <v>250</v>
      </c>
      <c r="E46" s="57">
        <v>122</v>
      </c>
      <c r="F46" s="190">
        <f>C46+D46+E46</f>
        <v>1050</v>
      </c>
      <c r="G46" s="57">
        <v>17</v>
      </c>
      <c r="H46" s="57">
        <v>0</v>
      </c>
      <c r="I46" s="57">
        <v>422</v>
      </c>
      <c r="J46" s="190">
        <f>G46+H46+I46</f>
        <v>439</v>
      </c>
      <c r="K46" s="57">
        <v>0</v>
      </c>
      <c r="L46" s="57">
        <v>0</v>
      </c>
      <c r="M46" s="57">
        <v>0</v>
      </c>
      <c r="N46" s="190">
        <f>K46+L46+M46</f>
        <v>0</v>
      </c>
      <c r="O46" s="19"/>
      <c r="P46" s="19"/>
      <c r="Q46" s="22"/>
      <c r="T46" s="19"/>
    </row>
    <row r="47" spans="1:20" s="232" customFormat="1" ht="14.25">
      <c r="A47" s="203"/>
      <c r="B47" s="164" t="s">
        <v>225</v>
      </c>
      <c r="C47" s="164">
        <f aca="true" t="shared" si="6" ref="C47:N47">SUM(C34:C46)</f>
        <v>872</v>
      </c>
      <c r="D47" s="164">
        <f t="shared" si="6"/>
        <v>317</v>
      </c>
      <c r="E47" s="164">
        <f t="shared" si="6"/>
        <v>883</v>
      </c>
      <c r="F47" s="197">
        <f t="shared" si="6"/>
        <v>2072</v>
      </c>
      <c r="G47" s="164">
        <f t="shared" si="6"/>
        <v>185</v>
      </c>
      <c r="H47" s="164">
        <f t="shared" si="6"/>
        <v>157</v>
      </c>
      <c r="I47" s="164">
        <f t="shared" si="6"/>
        <v>452</v>
      </c>
      <c r="J47" s="197">
        <f t="shared" si="6"/>
        <v>794</v>
      </c>
      <c r="K47" s="164">
        <f t="shared" si="6"/>
        <v>195</v>
      </c>
      <c r="L47" s="164">
        <f t="shared" si="6"/>
        <v>228</v>
      </c>
      <c r="M47" s="164">
        <f t="shared" si="6"/>
        <v>57</v>
      </c>
      <c r="N47" s="197">
        <f t="shared" si="6"/>
        <v>480</v>
      </c>
      <c r="O47" s="209"/>
      <c r="P47" s="209"/>
      <c r="Q47" s="210"/>
      <c r="R47" s="209"/>
      <c r="T47" s="209"/>
    </row>
    <row r="48" spans="1:20" s="232" customFormat="1" ht="14.25">
      <c r="A48" s="203"/>
      <c r="B48" s="204" t="s">
        <v>123</v>
      </c>
      <c r="C48" s="164">
        <f aca="true" t="shared" si="7" ref="C48:N48">C25+C33+C47</f>
        <v>27247</v>
      </c>
      <c r="D48" s="164">
        <f t="shared" si="7"/>
        <v>23255</v>
      </c>
      <c r="E48" s="164">
        <f t="shared" si="7"/>
        <v>6851</v>
      </c>
      <c r="F48" s="197">
        <f t="shared" si="7"/>
        <v>57353</v>
      </c>
      <c r="G48" s="164">
        <f t="shared" si="7"/>
        <v>21370</v>
      </c>
      <c r="H48" s="164">
        <f t="shared" si="7"/>
        <v>26065</v>
      </c>
      <c r="I48" s="164">
        <f t="shared" si="7"/>
        <v>17126</v>
      </c>
      <c r="J48" s="197">
        <f t="shared" si="7"/>
        <v>64561</v>
      </c>
      <c r="K48" s="164">
        <f t="shared" si="7"/>
        <v>18306</v>
      </c>
      <c r="L48" s="164">
        <f t="shared" si="7"/>
        <v>19243</v>
      </c>
      <c r="M48" s="164">
        <f t="shared" si="7"/>
        <v>5630</v>
      </c>
      <c r="N48" s="197">
        <f t="shared" si="7"/>
        <v>43179</v>
      </c>
      <c r="O48" s="210"/>
      <c r="P48" s="210"/>
      <c r="Q48" s="210"/>
      <c r="R48" s="209"/>
      <c r="T48" s="209"/>
    </row>
    <row r="49" spans="1:20" ht="12.75">
      <c r="A49" s="102"/>
      <c r="B49" s="67"/>
      <c r="C49" s="67"/>
      <c r="D49" s="67"/>
      <c r="E49" s="67"/>
      <c r="F49" s="191"/>
      <c r="G49" s="67"/>
      <c r="H49" s="67"/>
      <c r="I49" s="67"/>
      <c r="J49" s="191"/>
      <c r="K49" s="67"/>
      <c r="L49" s="67"/>
      <c r="M49" s="67"/>
      <c r="N49" s="191"/>
      <c r="O49" s="20"/>
      <c r="P49" s="20"/>
      <c r="Q49" s="20"/>
      <c r="R49" s="20"/>
      <c r="S49" s="105"/>
      <c r="T49" s="20"/>
    </row>
    <row r="50" spans="1:20" ht="12.75">
      <c r="A50" s="102"/>
      <c r="B50" s="67"/>
      <c r="C50" s="67"/>
      <c r="D50" s="67"/>
      <c r="E50" s="67"/>
      <c r="F50" s="191"/>
      <c r="G50" s="67"/>
      <c r="H50" s="67"/>
      <c r="I50" s="67"/>
      <c r="J50" s="191"/>
      <c r="K50" s="67"/>
      <c r="L50" s="67"/>
      <c r="M50" s="67"/>
      <c r="N50" s="191"/>
      <c r="O50" s="20"/>
      <c r="P50" s="20"/>
      <c r="Q50" s="20"/>
      <c r="R50" s="20"/>
      <c r="S50" s="105"/>
      <c r="T50" s="20"/>
    </row>
    <row r="51" spans="1:20" ht="12.75">
      <c r="A51" s="102"/>
      <c r="B51" s="67"/>
      <c r="C51" s="67"/>
      <c r="D51" s="67"/>
      <c r="E51" s="67"/>
      <c r="F51" s="191"/>
      <c r="G51" s="67"/>
      <c r="H51" s="67"/>
      <c r="I51" s="67"/>
      <c r="J51" s="191"/>
      <c r="K51" s="67"/>
      <c r="L51" s="67"/>
      <c r="M51" s="67"/>
      <c r="N51" s="191"/>
      <c r="O51" s="20"/>
      <c r="P51" s="20"/>
      <c r="Q51" s="20"/>
      <c r="R51" s="20"/>
      <c r="S51" s="105"/>
      <c r="T51" s="20"/>
    </row>
    <row r="52" spans="1:20" ht="19.5" customHeight="1">
      <c r="A52" s="202" t="s">
        <v>4</v>
      </c>
      <c r="B52" s="202" t="s">
        <v>5</v>
      </c>
      <c r="C52" s="662" t="s">
        <v>111</v>
      </c>
      <c r="D52" s="662"/>
      <c r="E52" s="662"/>
      <c r="F52" s="662"/>
      <c r="G52" s="662" t="s">
        <v>370</v>
      </c>
      <c r="H52" s="662"/>
      <c r="I52" s="662"/>
      <c r="J52" s="662"/>
      <c r="K52" s="662" t="s">
        <v>62</v>
      </c>
      <c r="L52" s="662"/>
      <c r="M52" s="662"/>
      <c r="N52" s="662"/>
      <c r="O52" s="20"/>
      <c r="P52" s="20"/>
      <c r="Q52" s="20"/>
      <c r="R52" s="20"/>
      <c r="S52" s="105"/>
      <c r="T52" s="20"/>
    </row>
    <row r="53" spans="1:20" ht="19.5" customHeight="1">
      <c r="A53" s="186"/>
      <c r="B53" s="186"/>
      <c r="C53" s="143" t="s">
        <v>201</v>
      </c>
      <c r="D53" s="143" t="s">
        <v>202</v>
      </c>
      <c r="E53" s="143" t="s">
        <v>203</v>
      </c>
      <c r="F53" s="266" t="s">
        <v>3</v>
      </c>
      <c r="G53" s="143" t="s">
        <v>201</v>
      </c>
      <c r="H53" s="143" t="s">
        <v>202</v>
      </c>
      <c r="I53" s="143" t="s">
        <v>203</v>
      </c>
      <c r="J53" s="266" t="s">
        <v>3</v>
      </c>
      <c r="K53" s="143" t="s">
        <v>201</v>
      </c>
      <c r="L53" s="143" t="s">
        <v>202</v>
      </c>
      <c r="M53" s="143" t="s">
        <v>203</v>
      </c>
      <c r="N53" s="266" t="s">
        <v>3</v>
      </c>
      <c r="O53" s="20"/>
      <c r="P53" s="20"/>
      <c r="Q53" s="20"/>
      <c r="R53" s="20"/>
      <c r="S53" s="105"/>
      <c r="T53" s="20"/>
    </row>
    <row r="54" spans="1:14" ht="12.75">
      <c r="A54" s="54">
        <v>40</v>
      </c>
      <c r="B54" s="57" t="s">
        <v>78</v>
      </c>
      <c r="C54" s="57">
        <v>0</v>
      </c>
      <c r="D54" s="57">
        <v>0</v>
      </c>
      <c r="E54" s="57">
        <v>0</v>
      </c>
      <c r="F54" s="190">
        <f aca="true" t="shared" si="8" ref="F54:F61">C54+D54+E54</f>
        <v>0</v>
      </c>
      <c r="G54" s="57">
        <v>0</v>
      </c>
      <c r="H54" s="57">
        <v>0</v>
      </c>
      <c r="I54" s="57">
        <v>0</v>
      </c>
      <c r="J54" s="190">
        <f aca="true" t="shared" si="9" ref="J54:J61">G54+H54+I54</f>
        <v>0</v>
      </c>
      <c r="K54" s="57">
        <v>0</v>
      </c>
      <c r="L54" s="57">
        <v>0</v>
      </c>
      <c r="M54" s="57">
        <v>0</v>
      </c>
      <c r="N54" s="190">
        <f aca="true" t="shared" si="10" ref="N54:N61">K54+L54+M54</f>
        <v>0</v>
      </c>
    </row>
    <row r="55" spans="1:14" ht="12.75">
      <c r="A55" s="54">
        <v>41</v>
      </c>
      <c r="B55" s="57" t="s">
        <v>278</v>
      </c>
      <c r="C55" s="57">
        <v>338</v>
      </c>
      <c r="D55" s="57">
        <v>305</v>
      </c>
      <c r="E55" s="57">
        <v>5</v>
      </c>
      <c r="F55" s="190">
        <f t="shared" si="8"/>
        <v>648</v>
      </c>
      <c r="G55" s="57">
        <v>777</v>
      </c>
      <c r="H55" s="57">
        <v>392</v>
      </c>
      <c r="I55" s="57">
        <v>93</v>
      </c>
      <c r="J55" s="190">
        <f t="shared" si="9"/>
        <v>1262</v>
      </c>
      <c r="K55" s="57">
        <v>121</v>
      </c>
      <c r="L55" s="57">
        <v>169</v>
      </c>
      <c r="M55" s="57">
        <v>40</v>
      </c>
      <c r="N55" s="190">
        <f t="shared" si="10"/>
        <v>330</v>
      </c>
    </row>
    <row r="56" spans="1:14" ht="12.75">
      <c r="A56" s="54">
        <v>42</v>
      </c>
      <c r="B56" s="57" t="s">
        <v>30</v>
      </c>
      <c r="C56" s="57">
        <v>288</v>
      </c>
      <c r="D56" s="57">
        <v>110</v>
      </c>
      <c r="E56" s="57">
        <v>2</v>
      </c>
      <c r="F56" s="190">
        <f t="shared" si="8"/>
        <v>400</v>
      </c>
      <c r="G56" s="57">
        <v>0</v>
      </c>
      <c r="H56" s="57">
        <v>0</v>
      </c>
      <c r="I56" s="57">
        <v>0</v>
      </c>
      <c r="J56" s="190">
        <f t="shared" si="9"/>
        <v>0</v>
      </c>
      <c r="K56" s="57">
        <v>111</v>
      </c>
      <c r="L56" s="57">
        <v>18</v>
      </c>
      <c r="M56" s="57">
        <v>1</v>
      </c>
      <c r="N56" s="190">
        <f t="shared" si="10"/>
        <v>130</v>
      </c>
    </row>
    <row r="57" spans="1:14" ht="12.75">
      <c r="A57" s="54">
        <v>43</v>
      </c>
      <c r="B57" s="57" t="s">
        <v>234</v>
      </c>
      <c r="C57" s="57">
        <v>131</v>
      </c>
      <c r="D57" s="57">
        <v>658</v>
      </c>
      <c r="E57" s="57">
        <v>58</v>
      </c>
      <c r="F57" s="190">
        <f t="shared" si="8"/>
        <v>847</v>
      </c>
      <c r="G57" s="57">
        <v>66</v>
      </c>
      <c r="H57" s="57">
        <v>107</v>
      </c>
      <c r="I57" s="57">
        <v>7</v>
      </c>
      <c r="J57" s="190">
        <f t="shared" si="9"/>
        <v>180</v>
      </c>
      <c r="K57" s="57">
        <v>58</v>
      </c>
      <c r="L57" s="57">
        <v>124</v>
      </c>
      <c r="M57" s="57">
        <v>11</v>
      </c>
      <c r="N57" s="190">
        <f t="shared" si="10"/>
        <v>193</v>
      </c>
    </row>
    <row r="58" spans="1:14" ht="12.75">
      <c r="A58" s="54">
        <v>44</v>
      </c>
      <c r="B58" s="57" t="s">
        <v>29</v>
      </c>
      <c r="C58" s="57">
        <v>221</v>
      </c>
      <c r="D58" s="57">
        <v>135</v>
      </c>
      <c r="E58" s="57">
        <v>4</v>
      </c>
      <c r="F58" s="190">
        <f t="shared" si="8"/>
        <v>360</v>
      </c>
      <c r="G58" s="57">
        <v>36</v>
      </c>
      <c r="H58" s="57">
        <v>169</v>
      </c>
      <c r="I58" s="57">
        <v>10</v>
      </c>
      <c r="J58" s="190">
        <f t="shared" si="9"/>
        <v>215</v>
      </c>
      <c r="K58" s="57">
        <v>150</v>
      </c>
      <c r="L58" s="57">
        <v>528</v>
      </c>
      <c r="M58" s="57">
        <v>19</v>
      </c>
      <c r="N58" s="190">
        <f t="shared" si="10"/>
        <v>697</v>
      </c>
    </row>
    <row r="59" spans="1:14" ht="12.75">
      <c r="A59" s="54">
        <v>45</v>
      </c>
      <c r="B59" s="57" t="s">
        <v>391</v>
      </c>
      <c r="C59" s="57">
        <v>3217</v>
      </c>
      <c r="D59" s="57">
        <v>4280</v>
      </c>
      <c r="E59" s="57">
        <v>37</v>
      </c>
      <c r="F59" s="190">
        <f t="shared" si="8"/>
        <v>7534</v>
      </c>
      <c r="G59" s="57">
        <v>485</v>
      </c>
      <c r="H59" s="57">
        <v>743</v>
      </c>
      <c r="I59" s="57">
        <v>5</v>
      </c>
      <c r="J59" s="190">
        <f t="shared" si="9"/>
        <v>1233</v>
      </c>
      <c r="K59" s="57">
        <v>985</v>
      </c>
      <c r="L59" s="57">
        <v>1482</v>
      </c>
      <c r="M59" s="57">
        <v>16</v>
      </c>
      <c r="N59" s="190">
        <f t="shared" si="10"/>
        <v>2483</v>
      </c>
    </row>
    <row r="60" spans="1:14" ht="12.75">
      <c r="A60" s="54">
        <v>46</v>
      </c>
      <c r="B60" s="57" t="s">
        <v>25</v>
      </c>
      <c r="C60" s="57">
        <v>94</v>
      </c>
      <c r="D60" s="57">
        <v>221</v>
      </c>
      <c r="E60" s="57">
        <v>19</v>
      </c>
      <c r="F60" s="190">
        <f t="shared" si="8"/>
        <v>334</v>
      </c>
      <c r="G60" s="57">
        <v>5</v>
      </c>
      <c r="H60" s="57">
        <v>11</v>
      </c>
      <c r="I60" s="57">
        <v>1</v>
      </c>
      <c r="J60" s="190">
        <f t="shared" si="9"/>
        <v>17</v>
      </c>
      <c r="K60" s="57">
        <v>39</v>
      </c>
      <c r="L60" s="57">
        <v>87</v>
      </c>
      <c r="M60" s="57">
        <v>7</v>
      </c>
      <c r="N60" s="190">
        <f t="shared" si="10"/>
        <v>133</v>
      </c>
    </row>
    <row r="61" spans="1:14" ht="12.75">
      <c r="A61" s="54">
        <v>47</v>
      </c>
      <c r="B61" s="57" t="s">
        <v>28</v>
      </c>
      <c r="C61" s="57">
        <v>32</v>
      </c>
      <c r="D61" s="57">
        <v>9</v>
      </c>
      <c r="E61" s="57">
        <v>0</v>
      </c>
      <c r="F61" s="190">
        <f t="shared" si="8"/>
        <v>41</v>
      </c>
      <c r="G61" s="57">
        <v>19</v>
      </c>
      <c r="H61" s="57">
        <v>43</v>
      </c>
      <c r="I61" s="57">
        <v>0</v>
      </c>
      <c r="J61" s="190">
        <f t="shared" si="9"/>
        <v>62</v>
      </c>
      <c r="K61" s="57">
        <v>35</v>
      </c>
      <c r="L61" s="57">
        <v>64</v>
      </c>
      <c r="M61" s="57">
        <v>4</v>
      </c>
      <c r="N61" s="190">
        <f t="shared" si="10"/>
        <v>103</v>
      </c>
    </row>
    <row r="62" spans="1:18" s="232" customFormat="1" ht="14.25">
      <c r="A62" s="54"/>
      <c r="B62" s="204" t="s">
        <v>123</v>
      </c>
      <c r="C62" s="164">
        <f aca="true" t="shared" si="11" ref="C62:N62">SUM(C54:C61)</f>
        <v>4321</v>
      </c>
      <c r="D62" s="164">
        <f t="shared" si="11"/>
        <v>5718</v>
      </c>
      <c r="E62" s="164">
        <f t="shared" si="11"/>
        <v>125</v>
      </c>
      <c r="F62" s="197">
        <f t="shared" si="11"/>
        <v>10164</v>
      </c>
      <c r="G62" s="164">
        <f t="shared" si="11"/>
        <v>1388</v>
      </c>
      <c r="H62" s="164">
        <f t="shared" si="11"/>
        <v>1465</v>
      </c>
      <c r="I62" s="164">
        <f t="shared" si="11"/>
        <v>116</v>
      </c>
      <c r="J62" s="197">
        <f t="shared" si="11"/>
        <v>2969</v>
      </c>
      <c r="K62" s="164">
        <f t="shared" si="11"/>
        <v>1499</v>
      </c>
      <c r="L62" s="164">
        <f t="shared" si="11"/>
        <v>2472</v>
      </c>
      <c r="M62" s="164">
        <f t="shared" si="11"/>
        <v>98</v>
      </c>
      <c r="N62" s="197">
        <f t="shared" si="11"/>
        <v>4069</v>
      </c>
      <c r="O62" s="210"/>
      <c r="P62" s="210"/>
      <c r="R62" s="209"/>
    </row>
    <row r="63" spans="1:14" ht="12.75">
      <c r="A63" s="54"/>
      <c r="B63" s="103" t="s">
        <v>36</v>
      </c>
      <c r="C63" s="57"/>
      <c r="D63" s="57"/>
      <c r="E63" s="57"/>
      <c r="F63" s="190"/>
      <c r="G63" s="57"/>
      <c r="H63" s="57"/>
      <c r="I63" s="57"/>
      <c r="J63" s="190"/>
      <c r="K63" s="57"/>
      <c r="L63" s="57"/>
      <c r="M63" s="57"/>
      <c r="N63" s="190"/>
    </row>
    <row r="64" spans="1:14" ht="12.75">
      <c r="A64" s="54">
        <v>48</v>
      </c>
      <c r="B64" s="57" t="s">
        <v>34</v>
      </c>
      <c r="C64" s="57">
        <v>3471</v>
      </c>
      <c r="D64" s="57">
        <v>5786</v>
      </c>
      <c r="E64" s="57">
        <v>81</v>
      </c>
      <c r="F64" s="190">
        <f>C64+D64+E64</f>
        <v>9338</v>
      </c>
      <c r="G64" s="57">
        <v>0</v>
      </c>
      <c r="H64" s="57">
        <v>0</v>
      </c>
      <c r="I64" s="57">
        <v>0</v>
      </c>
      <c r="J64" s="190">
        <f>G64+H64+I64</f>
        <v>0</v>
      </c>
      <c r="K64" s="57">
        <v>0</v>
      </c>
      <c r="L64" s="57">
        <v>0</v>
      </c>
      <c r="M64" s="57">
        <v>0</v>
      </c>
      <c r="N64" s="190">
        <f>K64+L64+M64</f>
        <v>0</v>
      </c>
    </row>
    <row r="65" spans="1:14" ht="12.75">
      <c r="A65" s="54">
        <v>49</v>
      </c>
      <c r="B65" s="57" t="s">
        <v>130</v>
      </c>
      <c r="C65" s="57">
        <v>0</v>
      </c>
      <c r="D65" s="57">
        <v>0</v>
      </c>
      <c r="E65" s="57">
        <v>0</v>
      </c>
      <c r="F65" s="190">
        <f>C65+D65+E65</f>
        <v>0</v>
      </c>
      <c r="G65" s="57">
        <v>0</v>
      </c>
      <c r="H65" s="57">
        <v>0</v>
      </c>
      <c r="I65" s="57">
        <v>0</v>
      </c>
      <c r="J65" s="190">
        <f>G65+H65+I65</f>
        <v>0</v>
      </c>
      <c r="K65" s="57">
        <v>0</v>
      </c>
      <c r="L65" s="57">
        <v>0</v>
      </c>
      <c r="M65" s="57">
        <v>0</v>
      </c>
      <c r="N65" s="190">
        <f>K65+L65+M65</f>
        <v>0</v>
      </c>
    </row>
    <row r="66" spans="1:18" s="232" customFormat="1" ht="14.25">
      <c r="A66" s="203"/>
      <c r="B66" s="204" t="s">
        <v>123</v>
      </c>
      <c r="C66" s="164">
        <f aca="true" t="shared" si="12" ref="C66:N66">SUM(C64:C65)</f>
        <v>3471</v>
      </c>
      <c r="D66" s="164">
        <f t="shared" si="12"/>
        <v>5786</v>
      </c>
      <c r="E66" s="164">
        <f t="shared" si="12"/>
        <v>81</v>
      </c>
      <c r="F66" s="197">
        <f t="shared" si="12"/>
        <v>9338</v>
      </c>
      <c r="G66" s="164">
        <f t="shared" si="12"/>
        <v>0</v>
      </c>
      <c r="H66" s="164">
        <f t="shared" si="12"/>
        <v>0</v>
      </c>
      <c r="I66" s="164">
        <f t="shared" si="12"/>
        <v>0</v>
      </c>
      <c r="J66" s="197">
        <f t="shared" si="12"/>
        <v>0</v>
      </c>
      <c r="K66" s="164">
        <f t="shared" si="12"/>
        <v>0</v>
      </c>
      <c r="L66" s="164">
        <f t="shared" si="12"/>
        <v>0</v>
      </c>
      <c r="M66" s="164">
        <f t="shared" si="12"/>
        <v>0</v>
      </c>
      <c r="N66" s="197">
        <f t="shared" si="12"/>
        <v>0</v>
      </c>
      <c r="O66" s="210"/>
      <c r="P66" s="210"/>
      <c r="R66" s="209"/>
    </row>
    <row r="67" spans="1:18" s="232" customFormat="1" ht="14.25">
      <c r="A67" s="203"/>
      <c r="B67" s="204" t="s">
        <v>35</v>
      </c>
      <c r="C67" s="164">
        <f aca="true" t="shared" si="13" ref="C67:N67">+C48+C62+C66</f>
        <v>35039</v>
      </c>
      <c r="D67" s="164">
        <f t="shared" si="13"/>
        <v>34759</v>
      </c>
      <c r="E67" s="164">
        <f t="shared" si="13"/>
        <v>7057</v>
      </c>
      <c r="F67" s="197">
        <f t="shared" si="13"/>
        <v>76855</v>
      </c>
      <c r="G67" s="164">
        <f t="shared" si="13"/>
        <v>22758</v>
      </c>
      <c r="H67" s="164">
        <f t="shared" si="13"/>
        <v>27530</v>
      </c>
      <c r="I67" s="164">
        <f t="shared" si="13"/>
        <v>17242</v>
      </c>
      <c r="J67" s="197">
        <f t="shared" si="13"/>
        <v>67530</v>
      </c>
      <c r="K67" s="164">
        <f t="shared" si="13"/>
        <v>19805</v>
      </c>
      <c r="L67" s="164">
        <f t="shared" si="13"/>
        <v>21715</v>
      </c>
      <c r="M67" s="164">
        <f t="shared" si="13"/>
        <v>5728</v>
      </c>
      <c r="N67" s="197">
        <f t="shared" si="13"/>
        <v>47248</v>
      </c>
      <c r="O67" s="210"/>
      <c r="P67" s="210"/>
      <c r="R67" s="209"/>
    </row>
    <row r="70" ht="12.75">
      <c r="B70" s="201" t="s">
        <v>229</v>
      </c>
    </row>
    <row r="71" ht="12.75">
      <c r="B71" s="201" t="s">
        <v>230</v>
      </c>
    </row>
    <row r="74" ht="12.75">
      <c r="D74" s="22">
        <v>5</v>
      </c>
    </row>
  </sheetData>
  <sheetProtection/>
  <mergeCells count="6">
    <mergeCell ref="K4:N4"/>
    <mergeCell ref="K52:N52"/>
    <mergeCell ref="C4:F4"/>
    <mergeCell ref="G4:J4"/>
    <mergeCell ref="C52:F52"/>
    <mergeCell ref="G52:J52"/>
  </mergeCells>
  <printOptions gridLines="1" horizontalCentered="1"/>
  <pageMargins left="0.354330708661417" right="0.354330708661417" top="0.63" bottom="0.65" header="0.511811023622047" footer="0.511811023622047"/>
  <pageSetup blackAndWhite="1" horizontalDpi="300" verticalDpi="300" orientation="landscape" paperSize="9" scale="78" r:id="rId2"/>
  <rowBreaks count="1" manualBreakCount="1">
    <brk id="48" max="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71"/>
  <sheetViews>
    <sheetView zoomScale="120" zoomScaleNormal="120" zoomScalePageLayoutView="0" workbookViewId="0" topLeftCell="M1">
      <selection activeCell="R18" sqref="R18"/>
    </sheetView>
  </sheetViews>
  <sheetFormatPr defaultColWidth="9.140625" defaultRowHeight="12.75"/>
  <cols>
    <col min="1" max="1" width="3.7109375" style="117" customWidth="1"/>
    <col min="2" max="2" width="21.8515625" style="117" customWidth="1"/>
    <col min="3" max="5" width="14.7109375" style="127" customWidth="1"/>
    <col min="6" max="6" width="14.7109375" style="99" customWidth="1"/>
    <col min="7" max="9" width="14.7109375" style="127" customWidth="1"/>
    <col min="10" max="10" width="14.7109375" style="99" customWidth="1"/>
    <col min="11" max="13" width="14.7109375" style="127" customWidth="1"/>
    <col min="14" max="14" width="14.7109375" style="99" customWidth="1"/>
    <col min="15" max="15" width="5.57421875" style="127" hidden="1" customWidth="1"/>
    <col min="16" max="16" width="5.57421875" style="127" customWidth="1"/>
    <col min="17" max="17" width="9.57421875" style="117" customWidth="1"/>
    <col min="18" max="18" width="9.140625" style="118" customWidth="1"/>
    <col min="19" max="19" width="9.140625" style="117" customWidth="1"/>
    <col min="20" max="20" width="11.57421875" style="117" customWidth="1"/>
    <col min="21" max="16384" width="9.140625" style="117" customWidth="1"/>
  </cols>
  <sheetData>
    <row r="1" spans="1:19" ht="15" customHeight="1">
      <c r="A1" s="335"/>
      <c r="B1" s="296"/>
      <c r="C1" s="294"/>
      <c r="D1" s="294"/>
      <c r="E1" s="294"/>
      <c r="F1" s="259"/>
      <c r="G1" s="294"/>
      <c r="H1" s="294"/>
      <c r="I1" s="294"/>
      <c r="J1" s="259"/>
      <c r="K1" s="294"/>
      <c r="L1" s="294"/>
      <c r="M1" s="294"/>
      <c r="N1" s="259"/>
      <c r="O1" s="294"/>
      <c r="P1" s="294"/>
      <c r="Q1" s="296"/>
      <c r="R1" s="295"/>
      <c r="S1" s="296"/>
    </row>
    <row r="2" spans="1:4" ht="15" customHeight="1">
      <c r="A2" s="292"/>
      <c r="B2" s="335"/>
      <c r="C2" s="291"/>
      <c r="D2" s="291"/>
    </row>
    <row r="3" spans="15:20" ht="15" customHeight="1">
      <c r="O3" s="297"/>
      <c r="P3" s="297"/>
      <c r="R3" s="297"/>
      <c r="S3" s="292"/>
      <c r="T3" s="292"/>
    </row>
    <row r="4" spans="1:20" ht="15" customHeight="1">
      <c r="A4" s="299" t="s">
        <v>4</v>
      </c>
      <c r="B4" s="299" t="s">
        <v>5</v>
      </c>
      <c r="C4" s="667" t="s">
        <v>204</v>
      </c>
      <c r="D4" s="668"/>
      <c r="E4" s="668"/>
      <c r="F4" s="669"/>
      <c r="G4" s="667" t="s">
        <v>205</v>
      </c>
      <c r="H4" s="668"/>
      <c r="I4" s="668"/>
      <c r="J4" s="669"/>
      <c r="K4" s="667" t="s">
        <v>206</v>
      </c>
      <c r="L4" s="668"/>
      <c r="M4" s="668"/>
      <c r="N4" s="669"/>
      <c r="O4" s="369"/>
      <c r="P4" s="369"/>
      <c r="Q4" s="370"/>
      <c r="R4" s="297"/>
      <c r="S4" s="370"/>
      <c r="T4" s="370"/>
    </row>
    <row r="5" spans="1:20" ht="15" customHeight="1">
      <c r="A5" s="350"/>
      <c r="B5" s="350"/>
      <c r="C5" s="371" t="s">
        <v>201</v>
      </c>
      <c r="D5" s="371" t="s">
        <v>202</v>
      </c>
      <c r="E5" s="371" t="s">
        <v>203</v>
      </c>
      <c r="F5" s="269" t="s">
        <v>3</v>
      </c>
      <c r="G5" s="371" t="s">
        <v>201</v>
      </c>
      <c r="H5" s="371" t="s">
        <v>202</v>
      </c>
      <c r="I5" s="371" t="s">
        <v>203</v>
      </c>
      <c r="J5" s="269" t="s">
        <v>3</v>
      </c>
      <c r="K5" s="371" t="s">
        <v>201</v>
      </c>
      <c r="L5" s="371" t="s">
        <v>202</v>
      </c>
      <c r="M5" s="371" t="s">
        <v>203</v>
      </c>
      <c r="N5" s="269" t="s">
        <v>3</v>
      </c>
      <c r="O5" s="372"/>
      <c r="P5" s="372"/>
      <c r="Q5" s="373"/>
      <c r="R5" s="297"/>
      <c r="S5" s="292"/>
      <c r="T5" s="292"/>
    </row>
    <row r="6" spans="1:20" ht="12.75">
      <c r="A6" s="115">
        <v>1</v>
      </c>
      <c r="B6" s="116" t="s">
        <v>7</v>
      </c>
      <c r="C6" s="116">
        <v>805</v>
      </c>
      <c r="D6" s="116">
        <v>779</v>
      </c>
      <c r="E6" s="116">
        <v>189</v>
      </c>
      <c r="F6" s="190">
        <f>C6+D6+E6</f>
        <v>1773</v>
      </c>
      <c r="G6" s="116">
        <v>290</v>
      </c>
      <c r="H6" s="116">
        <v>121</v>
      </c>
      <c r="I6" s="116">
        <v>13</v>
      </c>
      <c r="J6" s="190">
        <f>G6+H6+I6</f>
        <v>424</v>
      </c>
      <c r="K6" s="116">
        <v>201</v>
      </c>
      <c r="L6" s="116">
        <v>327</v>
      </c>
      <c r="M6" s="116">
        <v>22</v>
      </c>
      <c r="N6" s="190">
        <f>K6+L6+M6</f>
        <v>550</v>
      </c>
      <c r="O6" s="118">
        <v>0</v>
      </c>
      <c r="P6" s="118"/>
      <c r="Q6" s="374"/>
      <c r="R6" s="297"/>
      <c r="S6" s="292"/>
      <c r="T6" s="292"/>
    </row>
    <row r="7" spans="1:19" ht="12.75">
      <c r="A7" s="115">
        <v>2</v>
      </c>
      <c r="B7" s="116" t="s">
        <v>8</v>
      </c>
      <c r="C7" s="116">
        <v>9</v>
      </c>
      <c r="D7" s="116">
        <v>38</v>
      </c>
      <c r="E7" s="116">
        <v>0</v>
      </c>
      <c r="F7" s="190">
        <f aca="true" t="shared" si="0" ref="F7:F46">C7+D7+E7</f>
        <v>47</v>
      </c>
      <c r="G7" s="116">
        <v>0</v>
      </c>
      <c r="H7" s="116">
        <v>0</v>
      </c>
      <c r="I7" s="116">
        <v>0</v>
      </c>
      <c r="J7" s="190">
        <f aca="true" t="shared" si="1" ref="J7:J24">G7+H7+I7</f>
        <v>0</v>
      </c>
      <c r="K7" s="116">
        <v>0</v>
      </c>
      <c r="L7" s="116">
        <v>0</v>
      </c>
      <c r="M7" s="116">
        <v>0</v>
      </c>
      <c r="N7" s="190">
        <f aca="true" t="shared" si="2" ref="N7:N46">K7+L7+M7</f>
        <v>0</v>
      </c>
      <c r="O7" s="118">
        <v>0</v>
      </c>
      <c r="P7" s="118"/>
      <c r="Q7" s="374"/>
      <c r="R7" s="375"/>
      <c r="S7" s="298"/>
    </row>
    <row r="8" spans="1:20" ht="12.75">
      <c r="A8" s="115">
        <v>3</v>
      </c>
      <c r="B8" s="116" t="s">
        <v>9</v>
      </c>
      <c r="C8" s="116">
        <v>87</v>
      </c>
      <c r="D8" s="116">
        <v>263</v>
      </c>
      <c r="E8" s="116">
        <v>72</v>
      </c>
      <c r="F8" s="190">
        <f t="shared" si="0"/>
        <v>422</v>
      </c>
      <c r="G8" s="116">
        <v>91</v>
      </c>
      <c r="H8" s="116">
        <v>41</v>
      </c>
      <c r="I8" s="116">
        <v>15</v>
      </c>
      <c r="J8" s="190">
        <f t="shared" si="1"/>
        <v>147</v>
      </c>
      <c r="K8" s="116">
        <v>76</v>
      </c>
      <c r="L8" s="116">
        <v>49</v>
      </c>
      <c r="M8" s="116">
        <v>8</v>
      </c>
      <c r="N8" s="190">
        <f t="shared" si="2"/>
        <v>133</v>
      </c>
      <c r="O8" s="118">
        <v>0</v>
      </c>
      <c r="P8" s="118"/>
      <c r="Q8" s="374"/>
      <c r="T8" s="118"/>
    </row>
    <row r="9" spans="1:20" ht="12.75">
      <c r="A9" s="115">
        <v>4</v>
      </c>
      <c r="B9" s="116" t="s">
        <v>10</v>
      </c>
      <c r="C9" s="116">
        <v>691</v>
      </c>
      <c r="D9" s="116">
        <v>1432</v>
      </c>
      <c r="E9" s="116">
        <v>96</v>
      </c>
      <c r="F9" s="190">
        <f t="shared" si="0"/>
        <v>2219</v>
      </c>
      <c r="G9" s="116">
        <v>139</v>
      </c>
      <c r="H9" s="116">
        <v>189</v>
      </c>
      <c r="I9" s="116">
        <v>37</v>
      </c>
      <c r="J9" s="190">
        <f t="shared" si="1"/>
        <v>365</v>
      </c>
      <c r="K9" s="116">
        <v>266</v>
      </c>
      <c r="L9" s="116">
        <v>442</v>
      </c>
      <c r="M9" s="116">
        <v>131</v>
      </c>
      <c r="N9" s="190">
        <f t="shared" si="2"/>
        <v>839</v>
      </c>
      <c r="O9" s="118"/>
      <c r="P9" s="118"/>
      <c r="Q9" s="374"/>
      <c r="T9" s="118"/>
    </row>
    <row r="10" spans="1:20" ht="12.75">
      <c r="A10" s="115">
        <v>5</v>
      </c>
      <c r="B10" s="116" t="s">
        <v>11</v>
      </c>
      <c r="C10" s="116">
        <v>196</v>
      </c>
      <c r="D10" s="116">
        <v>371</v>
      </c>
      <c r="E10" s="116">
        <v>236</v>
      </c>
      <c r="F10" s="190">
        <f t="shared" si="0"/>
        <v>803</v>
      </c>
      <c r="G10" s="116">
        <v>15</v>
      </c>
      <c r="H10" s="116">
        <v>13</v>
      </c>
      <c r="I10" s="116">
        <v>3</v>
      </c>
      <c r="J10" s="190">
        <f t="shared" si="1"/>
        <v>31</v>
      </c>
      <c r="K10" s="116">
        <v>123</v>
      </c>
      <c r="L10" s="116">
        <v>201</v>
      </c>
      <c r="M10" s="116">
        <v>25</v>
      </c>
      <c r="N10" s="190">
        <f t="shared" si="2"/>
        <v>349</v>
      </c>
      <c r="O10" s="118"/>
      <c r="P10" s="118"/>
      <c r="Q10" s="374"/>
      <c r="T10" s="118"/>
    </row>
    <row r="11" spans="1:20" ht="12.75">
      <c r="A11" s="115">
        <v>6</v>
      </c>
      <c r="B11" s="116" t="s">
        <v>12</v>
      </c>
      <c r="C11" s="116">
        <v>145</v>
      </c>
      <c r="D11" s="116">
        <v>163</v>
      </c>
      <c r="E11" s="116">
        <v>54</v>
      </c>
      <c r="F11" s="190">
        <f t="shared" si="0"/>
        <v>362</v>
      </c>
      <c r="G11" s="116">
        <v>18</v>
      </c>
      <c r="H11" s="116">
        <v>11</v>
      </c>
      <c r="I11" s="116">
        <v>1</v>
      </c>
      <c r="J11" s="190">
        <f t="shared" si="1"/>
        <v>30</v>
      </c>
      <c r="K11" s="116">
        <v>0</v>
      </c>
      <c r="L11" s="116">
        <v>0</v>
      </c>
      <c r="M11" s="116">
        <v>0</v>
      </c>
      <c r="N11" s="190">
        <f t="shared" si="2"/>
        <v>0</v>
      </c>
      <c r="O11" s="118"/>
      <c r="P11" s="118"/>
      <c r="Q11" s="374"/>
      <c r="T11" s="118"/>
    </row>
    <row r="12" spans="1:20" s="103" customFormat="1" ht="12.75">
      <c r="A12" s="54">
        <v>7</v>
      </c>
      <c r="B12" s="57" t="s">
        <v>13</v>
      </c>
      <c r="C12" s="57">
        <v>574</v>
      </c>
      <c r="D12" s="57">
        <v>1600</v>
      </c>
      <c r="E12" s="57">
        <v>113</v>
      </c>
      <c r="F12" s="190">
        <f t="shared" si="0"/>
        <v>2287</v>
      </c>
      <c r="G12" s="57">
        <v>140</v>
      </c>
      <c r="H12" s="57">
        <v>258</v>
      </c>
      <c r="I12" s="57">
        <v>44</v>
      </c>
      <c r="J12" s="190">
        <f t="shared" si="1"/>
        <v>442</v>
      </c>
      <c r="K12" s="57">
        <v>165</v>
      </c>
      <c r="L12" s="57">
        <v>262</v>
      </c>
      <c r="M12" s="57">
        <v>46</v>
      </c>
      <c r="N12" s="190">
        <f t="shared" si="2"/>
        <v>473</v>
      </c>
      <c r="O12" s="19"/>
      <c r="P12" s="19"/>
      <c r="Q12" s="553"/>
      <c r="R12" s="19"/>
      <c r="T12" s="19"/>
    </row>
    <row r="13" spans="1:20" s="103" customFormat="1" ht="12.75">
      <c r="A13" s="54">
        <v>8</v>
      </c>
      <c r="B13" s="57" t="s">
        <v>162</v>
      </c>
      <c r="C13" s="57">
        <v>0</v>
      </c>
      <c r="D13" s="57">
        <v>0</v>
      </c>
      <c r="E13" s="57">
        <v>0</v>
      </c>
      <c r="F13" s="190">
        <f t="shared" si="0"/>
        <v>0</v>
      </c>
      <c r="G13" s="57">
        <v>0</v>
      </c>
      <c r="H13" s="57">
        <v>0</v>
      </c>
      <c r="I13" s="57">
        <v>0</v>
      </c>
      <c r="J13" s="190">
        <f t="shared" si="1"/>
        <v>0</v>
      </c>
      <c r="K13" s="57">
        <v>0</v>
      </c>
      <c r="L13" s="57">
        <v>0</v>
      </c>
      <c r="M13" s="57">
        <v>0</v>
      </c>
      <c r="N13" s="190">
        <f t="shared" si="2"/>
        <v>0</v>
      </c>
      <c r="O13" s="552">
        <v>0</v>
      </c>
      <c r="P13" s="19"/>
      <c r="Q13" s="553"/>
      <c r="R13" s="19"/>
      <c r="T13" s="19"/>
    </row>
    <row r="14" spans="1:20" s="103" customFormat="1" ht="12.75">
      <c r="A14" s="115">
        <v>9</v>
      </c>
      <c r="B14" s="116" t="s">
        <v>14</v>
      </c>
      <c r="C14" s="116">
        <v>106</v>
      </c>
      <c r="D14" s="116">
        <v>426</v>
      </c>
      <c r="E14" s="116">
        <v>195</v>
      </c>
      <c r="F14" s="190">
        <f t="shared" si="0"/>
        <v>727</v>
      </c>
      <c r="G14" s="116">
        <v>2</v>
      </c>
      <c r="H14" s="116">
        <v>3</v>
      </c>
      <c r="I14" s="116">
        <v>0</v>
      </c>
      <c r="J14" s="190">
        <f t="shared" si="1"/>
        <v>5</v>
      </c>
      <c r="K14" s="116">
        <v>14</v>
      </c>
      <c r="L14" s="116">
        <v>11</v>
      </c>
      <c r="M14" s="116">
        <v>1</v>
      </c>
      <c r="N14" s="190">
        <f t="shared" si="2"/>
        <v>26</v>
      </c>
      <c r="O14" s="118">
        <v>0</v>
      </c>
      <c r="P14" s="19"/>
      <c r="Q14" s="553"/>
      <c r="R14" s="19"/>
      <c r="T14" s="19"/>
    </row>
    <row r="15" spans="1:20" s="103" customFormat="1" ht="12.75">
      <c r="A15" s="115">
        <v>10</v>
      </c>
      <c r="B15" s="116" t="s">
        <v>15</v>
      </c>
      <c r="C15" s="116">
        <v>11</v>
      </c>
      <c r="D15" s="116">
        <v>72</v>
      </c>
      <c r="E15" s="116">
        <v>32</v>
      </c>
      <c r="F15" s="190">
        <f t="shared" si="0"/>
        <v>115</v>
      </c>
      <c r="G15" s="116">
        <v>0</v>
      </c>
      <c r="H15" s="116">
        <v>0</v>
      </c>
      <c r="I15" s="116">
        <v>0</v>
      </c>
      <c r="J15" s="190">
        <f t="shared" si="1"/>
        <v>0</v>
      </c>
      <c r="K15" s="116">
        <v>0</v>
      </c>
      <c r="L15" s="116">
        <v>0</v>
      </c>
      <c r="M15" s="116">
        <v>0</v>
      </c>
      <c r="N15" s="190">
        <f t="shared" si="2"/>
        <v>0</v>
      </c>
      <c r="O15" s="118"/>
      <c r="P15" s="19"/>
      <c r="Q15" s="553"/>
      <c r="R15" s="19"/>
      <c r="T15" s="19"/>
    </row>
    <row r="16" spans="1:20" s="103" customFormat="1" ht="12.75">
      <c r="A16" s="115">
        <v>11</v>
      </c>
      <c r="B16" s="116" t="s">
        <v>16</v>
      </c>
      <c r="C16" s="116">
        <v>13</v>
      </c>
      <c r="D16" s="116">
        <v>80</v>
      </c>
      <c r="E16" s="116">
        <v>27</v>
      </c>
      <c r="F16" s="190">
        <f t="shared" si="0"/>
        <v>120</v>
      </c>
      <c r="G16" s="116">
        <v>0</v>
      </c>
      <c r="H16" s="116">
        <v>0</v>
      </c>
      <c r="I16" s="116">
        <v>0</v>
      </c>
      <c r="J16" s="190">
        <f t="shared" si="1"/>
        <v>0</v>
      </c>
      <c r="K16" s="116">
        <v>0</v>
      </c>
      <c r="L16" s="116">
        <v>0</v>
      </c>
      <c r="M16" s="116">
        <v>0</v>
      </c>
      <c r="N16" s="190">
        <f t="shared" si="2"/>
        <v>0</v>
      </c>
      <c r="O16" s="118">
        <v>0</v>
      </c>
      <c r="P16" s="19"/>
      <c r="Q16" s="553"/>
      <c r="R16" s="19"/>
      <c r="T16" s="19"/>
    </row>
    <row r="17" spans="1:20" s="103" customFormat="1" ht="12.75">
      <c r="A17" s="115">
        <v>12</v>
      </c>
      <c r="B17" s="116" t="s">
        <v>17</v>
      </c>
      <c r="C17" s="116">
        <v>180</v>
      </c>
      <c r="D17" s="116">
        <v>609</v>
      </c>
      <c r="E17" s="116">
        <v>234</v>
      </c>
      <c r="F17" s="190">
        <f t="shared" si="0"/>
        <v>1023</v>
      </c>
      <c r="G17" s="116">
        <v>0</v>
      </c>
      <c r="H17" s="116">
        <v>0</v>
      </c>
      <c r="I17" s="116">
        <v>0</v>
      </c>
      <c r="J17" s="190">
        <f t="shared" si="1"/>
        <v>0</v>
      </c>
      <c r="K17" s="116">
        <v>0</v>
      </c>
      <c r="L17" s="116">
        <v>0</v>
      </c>
      <c r="M17" s="116">
        <v>0</v>
      </c>
      <c r="N17" s="190">
        <f t="shared" si="2"/>
        <v>0</v>
      </c>
      <c r="O17" s="118"/>
      <c r="P17" s="19"/>
      <c r="Q17" s="553"/>
      <c r="R17" s="19"/>
      <c r="T17" s="19"/>
    </row>
    <row r="18" spans="1:20" s="103" customFormat="1" ht="12.75">
      <c r="A18" s="115">
        <v>13</v>
      </c>
      <c r="B18" s="116" t="s">
        <v>164</v>
      </c>
      <c r="C18" s="116">
        <v>42</v>
      </c>
      <c r="D18" s="116">
        <v>102</v>
      </c>
      <c r="E18" s="116">
        <v>0</v>
      </c>
      <c r="F18" s="190">
        <f t="shared" si="0"/>
        <v>144</v>
      </c>
      <c r="G18" s="116">
        <v>0</v>
      </c>
      <c r="H18" s="116">
        <v>0</v>
      </c>
      <c r="I18" s="116">
        <v>0</v>
      </c>
      <c r="J18" s="190">
        <f t="shared" si="1"/>
        <v>0</v>
      </c>
      <c r="K18" s="116">
        <v>2</v>
      </c>
      <c r="L18" s="116">
        <v>4</v>
      </c>
      <c r="M18" s="116">
        <v>0</v>
      </c>
      <c r="N18" s="190">
        <f t="shared" si="2"/>
        <v>6</v>
      </c>
      <c r="O18" s="118"/>
      <c r="P18" s="19"/>
      <c r="Q18" s="553"/>
      <c r="R18" s="19"/>
      <c r="T18" s="19"/>
    </row>
    <row r="19" spans="1:20" s="103" customFormat="1" ht="12.75">
      <c r="A19" s="115">
        <v>14</v>
      </c>
      <c r="B19" s="116" t="s">
        <v>77</v>
      </c>
      <c r="C19" s="116">
        <v>336</v>
      </c>
      <c r="D19" s="116">
        <v>942</v>
      </c>
      <c r="E19" s="116">
        <v>891</v>
      </c>
      <c r="F19" s="190">
        <f t="shared" si="0"/>
        <v>2169</v>
      </c>
      <c r="G19" s="116">
        <v>63</v>
      </c>
      <c r="H19" s="116">
        <v>99</v>
      </c>
      <c r="I19" s="116">
        <v>157</v>
      </c>
      <c r="J19" s="190">
        <f t="shared" si="1"/>
        <v>319</v>
      </c>
      <c r="K19" s="116">
        <v>0</v>
      </c>
      <c r="L19" s="116">
        <v>0</v>
      </c>
      <c r="M19" s="116">
        <v>0</v>
      </c>
      <c r="N19" s="190">
        <f t="shared" si="2"/>
        <v>0</v>
      </c>
      <c r="O19" s="118"/>
      <c r="P19" s="19"/>
      <c r="Q19" s="553"/>
      <c r="R19" s="19"/>
      <c r="T19" s="19"/>
    </row>
    <row r="20" spans="1:20" s="103" customFormat="1" ht="12.75">
      <c r="A20" s="115">
        <v>15</v>
      </c>
      <c r="B20" s="116" t="s">
        <v>105</v>
      </c>
      <c r="C20" s="116">
        <v>57</v>
      </c>
      <c r="D20" s="116">
        <v>173</v>
      </c>
      <c r="E20" s="116">
        <v>57</v>
      </c>
      <c r="F20" s="190">
        <f t="shared" si="0"/>
        <v>287</v>
      </c>
      <c r="G20" s="116">
        <v>2</v>
      </c>
      <c r="H20" s="116">
        <v>2</v>
      </c>
      <c r="I20" s="116">
        <v>4</v>
      </c>
      <c r="J20" s="190">
        <f t="shared" si="1"/>
        <v>8</v>
      </c>
      <c r="K20" s="116">
        <v>1</v>
      </c>
      <c r="L20" s="116">
        <v>5</v>
      </c>
      <c r="M20" s="116">
        <v>1</v>
      </c>
      <c r="N20" s="190">
        <f t="shared" si="2"/>
        <v>7</v>
      </c>
      <c r="O20" s="118">
        <v>0</v>
      </c>
      <c r="P20" s="19"/>
      <c r="Q20" s="553"/>
      <c r="R20" s="19"/>
      <c r="T20" s="19"/>
    </row>
    <row r="21" spans="1:20" s="103" customFormat="1" ht="11.25" customHeight="1">
      <c r="A21" s="54">
        <v>16</v>
      </c>
      <c r="B21" s="57" t="s">
        <v>20</v>
      </c>
      <c r="C21" s="57">
        <v>253</v>
      </c>
      <c r="D21" s="57">
        <v>509</v>
      </c>
      <c r="E21" s="57">
        <v>36</v>
      </c>
      <c r="F21" s="190">
        <f t="shared" si="0"/>
        <v>798</v>
      </c>
      <c r="G21" s="57">
        <v>25</v>
      </c>
      <c r="H21" s="57">
        <v>24</v>
      </c>
      <c r="I21" s="57">
        <v>6</v>
      </c>
      <c r="J21" s="190">
        <f t="shared" si="1"/>
        <v>55</v>
      </c>
      <c r="K21" s="57">
        <v>65</v>
      </c>
      <c r="L21" s="57">
        <v>44</v>
      </c>
      <c r="M21" s="57">
        <v>17</v>
      </c>
      <c r="N21" s="190">
        <f t="shared" si="2"/>
        <v>126</v>
      </c>
      <c r="O21" s="552">
        <v>0</v>
      </c>
      <c r="P21" s="19"/>
      <c r="Q21" s="553"/>
      <c r="R21" s="19"/>
      <c r="T21" s="19"/>
    </row>
    <row r="22" spans="1:20" s="103" customFormat="1" ht="12.75">
      <c r="A22" s="115">
        <v>17</v>
      </c>
      <c r="B22" s="116" t="s">
        <v>21</v>
      </c>
      <c r="C22" s="116">
        <v>1110</v>
      </c>
      <c r="D22" s="116">
        <v>1356</v>
      </c>
      <c r="E22" s="116">
        <v>968</v>
      </c>
      <c r="F22" s="190">
        <f t="shared" si="0"/>
        <v>3434</v>
      </c>
      <c r="G22" s="116">
        <v>89</v>
      </c>
      <c r="H22" s="116">
        <v>72</v>
      </c>
      <c r="I22" s="116">
        <v>36</v>
      </c>
      <c r="J22" s="190">
        <f t="shared" si="1"/>
        <v>197</v>
      </c>
      <c r="K22" s="116">
        <v>43</v>
      </c>
      <c r="L22" s="116">
        <v>67</v>
      </c>
      <c r="M22" s="116">
        <v>52</v>
      </c>
      <c r="N22" s="190">
        <f t="shared" si="2"/>
        <v>162</v>
      </c>
      <c r="O22" s="118">
        <v>0</v>
      </c>
      <c r="P22" s="19"/>
      <c r="Q22" s="553"/>
      <c r="R22" s="19"/>
      <c r="T22" s="19"/>
    </row>
    <row r="23" spans="1:20" s="103" customFormat="1" ht="12.75">
      <c r="A23" s="115">
        <v>18</v>
      </c>
      <c r="B23" s="116" t="s">
        <v>19</v>
      </c>
      <c r="C23" s="116">
        <v>0</v>
      </c>
      <c r="D23" s="116">
        <v>0</v>
      </c>
      <c r="E23" s="116">
        <v>0</v>
      </c>
      <c r="F23" s="190">
        <f t="shared" si="0"/>
        <v>0</v>
      </c>
      <c r="G23" s="116">
        <v>0</v>
      </c>
      <c r="H23" s="116">
        <v>0</v>
      </c>
      <c r="I23" s="116">
        <v>0</v>
      </c>
      <c r="J23" s="190">
        <f t="shared" si="1"/>
        <v>0</v>
      </c>
      <c r="K23" s="116">
        <v>0</v>
      </c>
      <c r="L23" s="116">
        <v>0</v>
      </c>
      <c r="M23" s="116">
        <v>0</v>
      </c>
      <c r="N23" s="190">
        <f t="shared" si="2"/>
        <v>0</v>
      </c>
      <c r="O23" s="118"/>
      <c r="P23" s="19"/>
      <c r="Q23" s="553"/>
      <c r="R23" s="19"/>
      <c r="T23" s="19"/>
    </row>
    <row r="24" spans="1:20" s="103" customFormat="1" ht="12.75">
      <c r="A24" s="115">
        <v>19</v>
      </c>
      <c r="B24" s="116" t="s">
        <v>124</v>
      </c>
      <c r="C24" s="116">
        <v>18</v>
      </c>
      <c r="D24" s="116">
        <v>35</v>
      </c>
      <c r="E24" s="116">
        <v>8</v>
      </c>
      <c r="F24" s="190">
        <f t="shared" si="0"/>
        <v>61</v>
      </c>
      <c r="G24" s="116">
        <v>0</v>
      </c>
      <c r="H24" s="116">
        <v>0</v>
      </c>
      <c r="I24" s="116">
        <v>0</v>
      </c>
      <c r="J24" s="190">
        <f t="shared" si="1"/>
        <v>0</v>
      </c>
      <c r="K24" s="116">
        <v>2</v>
      </c>
      <c r="L24" s="116">
        <v>1</v>
      </c>
      <c r="M24" s="116">
        <v>0</v>
      </c>
      <c r="N24" s="190">
        <f t="shared" si="2"/>
        <v>3</v>
      </c>
      <c r="O24" s="118">
        <v>0</v>
      </c>
      <c r="P24" s="19"/>
      <c r="Q24" s="553"/>
      <c r="R24" s="19"/>
      <c r="T24" s="19"/>
    </row>
    <row r="25" spans="1:20" s="232" customFormat="1" ht="14.25">
      <c r="A25" s="325"/>
      <c r="B25" s="326" t="s">
        <v>224</v>
      </c>
      <c r="C25" s="326">
        <f aca="true" t="shared" si="3" ref="C25:M25">SUM(C6:C24)</f>
        <v>4633</v>
      </c>
      <c r="D25" s="326">
        <f t="shared" si="3"/>
        <v>8950</v>
      </c>
      <c r="E25" s="326">
        <f t="shared" si="3"/>
        <v>3208</v>
      </c>
      <c r="F25" s="197">
        <f t="shared" si="0"/>
        <v>16791</v>
      </c>
      <c r="G25" s="326">
        <f t="shared" si="3"/>
        <v>874</v>
      </c>
      <c r="H25" s="326">
        <f t="shared" si="3"/>
        <v>833</v>
      </c>
      <c r="I25" s="326">
        <f t="shared" si="3"/>
        <v>316</v>
      </c>
      <c r="J25" s="197">
        <f t="shared" si="3"/>
        <v>2023</v>
      </c>
      <c r="K25" s="326">
        <f t="shared" si="3"/>
        <v>958</v>
      </c>
      <c r="L25" s="326">
        <f t="shared" si="3"/>
        <v>1413</v>
      </c>
      <c r="M25" s="326">
        <f t="shared" si="3"/>
        <v>303</v>
      </c>
      <c r="N25" s="197">
        <f t="shared" si="2"/>
        <v>2674</v>
      </c>
      <c r="O25" s="376"/>
      <c r="P25" s="209"/>
      <c r="Q25" s="554"/>
      <c r="R25" s="209"/>
      <c r="T25" s="209"/>
    </row>
    <row r="26" spans="1:20" s="103" customFormat="1" ht="12.75">
      <c r="A26" s="54">
        <v>20</v>
      </c>
      <c r="B26" s="116" t="s">
        <v>23</v>
      </c>
      <c r="C26" s="116">
        <v>0</v>
      </c>
      <c r="D26" s="116">
        <v>0</v>
      </c>
      <c r="E26" s="116">
        <v>0</v>
      </c>
      <c r="F26" s="190">
        <f t="shared" si="0"/>
        <v>0</v>
      </c>
      <c r="G26" s="116">
        <v>0</v>
      </c>
      <c r="H26" s="116">
        <v>0</v>
      </c>
      <c r="I26" s="116">
        <v>0</v>
      </c>
      <c r="J26" s="190">
        <f aca="true" t="shared" si="4" ref="J26:J46">G26+H26+I26</f>
        <v>0</v>
      </c>
      <c r="K26" s="116">
        <v>0</v>
      </c>
      <c r="L26" s="116">
        <v>0</v>
      </c>
      <c r="M26" s="116">
        <v>0</v>
      </c>
      <c r="N26" s="190">
        <f t="shared" si="2"/>
        <v>0</v>
      </c>
      <c r="O26" s="118"/>
      <c r="P26" s="19"/>
      <c r="Q26" s="553"/>
      <c r="R26" s="19"/>
      <c r="T26" s="19"/>
    </row>
    <row r="27" spans="1:20" s="103" customFormat="1" ht="12.75">
      <c r="A27" s="54">
        <v>21</v>
      </c>
      <c r="B27" s="116" t="s">
        <v>269</v>
      </c>
      <c r="C27" s="116">
        <v>0</v>
      </c>
      <c r="D27" s="116">
        <v>0</v>
      </c>
      <c r="E27" s="116">
        <v>0</v>
      </c>
      <c r="F27" s="190">
        <f t="shared" si="0"/>
        <v>0</v>
      </c>
      <c r="G27" s="116">
        <v>0</v>
      </c>
      <c r="H27" s="116">
        <v>0</v>
      </c>
      <c r="I27" s="116">
        <v>0</v>
      </c>
      <c r="J27" s="190">
        <f t="shared" si="4"/>
        <v>0</v>
      </c>
      <c r="K27" s="116">
        <v>0</v>
      </c>
      <c r="L27" s="116">
        <v>0</v>
      </c>
      <c r="M27" s="116">
        <v>0</v>
      </c>
      <c r="N27" s="190">
        <f t="shared" si="2"/>
        <v>0</v>
      </c>
      <c r="O27" s="118"/>
      <c r="P27" s="19"/>
      <c r="Q27" s="553"/>
      <c r="R27" s="19"/>
      <c r="T27" s="19"/>
    </row>
    <row r="28" spans="1:20" s="103" customFormat="1" ht="12.75">
      <c r="A28" s="54">
        <v>22</v>
      </c>
      <c r="B28" s="116" t="s">
        <v>169</v>
      </c>
      <c r="C28" s="116">
        <v>13</v>
      </c>
      <c r="D28" s="116">
        <v>0</v>
      </c>
      <c r="E28" s="116">
        <v>5</v>
      </c>
      <c r="F28" s="190">
        <f t="shared" si="0"/>
        <v>18</v>
      </c>
      <c r="G28" s="116">
        <v>0</v>
      </c>
      <c r="H28" s="116">
        <v>0</v>
      </c>
      <c r="I28" s="116">
        <v>0</v>
      </c>
      <c r="J28" s="190">
        <f t="shared" si="4"/>
        <v>0</v>
      </c>
      <c r="K28" s="116">
        <v>10</v>
      </c>
      <c r="L28" s="116">
        <v>0</v>
      </c>
      <c r="M28" s="116">
        <v>2</v>
      </c>
      <c r="N28" s="190">
        <f t="shared" si="2"/>
        <v>12</v>
      </c>
      <c r="O28" s="118"/>
      <c r="P28" s="19"/>
      <c r="Q28" s="553"/>
      <c r="R28" s="19"/>
      <c r="T28" s="19"/>
    </row>
    <row r="29" spans="1:20" s="103" customFormat="1" ht="12.75">
      <c r="A29" s="54">
        <v>23</v>
      </c>
      <c r="B29" s="116" t="s">
        <v>22</v>
      </c>
      <c r="C29" s="116">
        <v>0</v>
      </c>
      <c r="D29" s="116">
        <v>0</v>
      </c>
      <c r="E29" s="116">
        <v>0</v>
      </c>
      <c r="F29" s="190">
        <f t="shared" si="0"/>
        <v>0</v>
      </c>
      <c r="G29" s="116">
        <v>0</v>
      </c>
      <c r="H29" s="116">
        <v>0</v>
      </c>
      <c r="I29" s="116">
        <v>0</v>
      </c>
      <c r="J29" s="190">
        <f t="shared" si="4"/>
        <v>0</v>
      </c>
      <c r="K29" s="116">
        <v>0</v>
      </c>
      <c r="L29" s="116">
        <v>0</v>
      </c>
      <c r="M29" s="116">
        <v>0</v>
      </c>
      <c r="N29" s="190">
        <f t="shared" si="2"/>
        <v>0</v>
      </c>
      <c r="O29" s="118"/>
      <c r="P29" s="19"/>
      <c r="Q29" s="553"/>
      <c r="R29" s="19"/>
      <c r="T29" s="19"/>
    </row>
    <row r="30" spans="1:20" s="103" customFormat="1" ht="12.75">
      <c r="A30" s="54">
        <v>24</v>
      </c>
      <c r="B30" s="57" t="s">
        <v>141</v>
      </c>
      <c r="C30" s="57">
        <v>16</v>
      </c>
      <c r="D30" s="57">
        <v>9</v>
      </c>
      <c r="E30" s="57">
        <v>9</v>
      </c>
      <c r="F30" s="190">
        <f t="shared" si="0"/>
        <v>34</v>
      </c>
      <c r="G30" s="57">
        <v>0</v>
      </c>
      <c r="H30" s="57">
        <v>0</v>
      </c>
      <c r="I30" s="57">
        <v>0</v>
      </c>
      <c r="J30" s="190">
        <f t="shared" si="4"/>
        <v>0</v>
      </c>
      <c r="K30" s="57">
        <v>0</v>
      </c>
      <c r="L30" s="57">
        <v>0</v>
      </c>
      <c r="M30" s="57">
        <v>0</v>
      </c>
      <c r="N30" s="190">
        <f t="shared" si="2"/>
        <v>0</v>
      </c>
      <c r="O30" s="19">
        <v>164.7</v>
      </c>
      <c r="P30" s="19"/>
      <c r="Q30" s="553"/>
      <c r="R30" s="501"/>
      <c r="S30" s="105"/>
      <c r="T30" s="20"/>
    </row>
    <row r="31" spans="1:20" s="103" customFormat="1" ht="12.75">
      <c r="A31" s="54">
        <v>25</v>
      </c>
      <c r="B31" s="116" t="s">
        <v>18</v>
      </c>
      <c r="C31" s="116">
        <v>1981</v>
      </c>
      <c r="D31" s="116">
        <v>1265</v>
      </c>
      <c r="E31" s="116">
        <v>941</v>
      </c>
      <c r="F31" s="190">
        <f t="shared" si="0"/>
        <v>4187</v>
      </c>
      <c r="G31" s="116">
        <v>340</v>
      </c>
      <c r="H31" s="116">
        <v>270</v>
      </c>
      <c r="I31" s="116">
        <v>72</v>
      </c>
      <c r="J31" s="190">
        <f t="shared" si="4"/>
        <v>682</v>
      </c>
      <c r="K31" s="116">
        <v>709</v>
      </c>
      <c r="L31" s="116">
        <v>348</v>
      </c>
      <c r="M31" s="116">
        <v>188</v>
      </c>
      <c r="N31" s="190">
        <f t="shared" si="2"/>
        <v>1245</v>
      </c>
      <c r="O31" s="118">
        <v>0</v>
      </c>
      <c r="P31" s="19"/>
      <c r="Q31" s="553"/>
      <c r="R31" s="19"/>
      <c r="T31" s="19"/>
    </row>
    <row r="32" spans="1:20" s="103" customFormat="1" ht="12.75">
      <c r="A32" s="54">
        <v>26</v>
      </c>
      <c r="B32" s="116" t="s">
        <v>104</v>
      </c>
      <c r="C32" s="116">
        <v>310</v>
      </c>
      <c r="D32" s="116">
        <v>619</v>
      </c>
      <c r="E32" s="116">
        <v>52</v>
      </c>
      <c r="F32" s="190">
        <f t="shared" si="0"/>
        <v>981</v>
      </c>
      <c r="G32" s="116">
        <v>178</v>
      </c>
      <c r="H32" s="116">
        <v>116</v>
      </c>
      <c r="I32" s="116">
        <v>21</v>
      </c>
      <c r="J32" s="190">
        <f t="shared" si="4"/>
        <v>315</v>
      </c>
      <c r="K32" s="116">
        <v>129</v>
      </c>
      <c r="L32" s="116">
        <v>190</v>
      </c>
      <c r="M32" s="116">
        <v>15</v>
      </c>
      <c r="N32" s="190">
        <f t="shared" si="2"/>
        <v>334</v>
      </c>
      <c r="O32" s="118">
        <v>0</v>
      </c>
      <c r="P32" s="19"/>
      <c r="Q32" s="553"/>
      <c r="R32" s="19"/>
      <c r="T32" s="19"/>
    </row>
    <row r="33" spans="1:20" s="232" customFormat="1" ht="14.25">
      <c r="A33" s="325"/>
      <c r="B33" s="326" t="s">
        <v>226</v>
      </c>
      <c r="C33" s="326">
        <f aca="true" t="shared" si="5" ref="C33:M33">SUM(C26:C32)</f>
        <v>2320</v>
      </c>
      <c r="D33" s="326">
        <f t="shared" si="5"/>
        <v>1893</v>
      </c>
      <c r="E33" s="326">
        <f t="shared" si="5"/>
        <v>1007</v>
      </c>
      <c r="F33" s="197">
        <f t="shared" si="0"/>
        <v>5220</v>
      </c>
      <c r="G33" s="326">
        <f t="shared" si="5"/>
        <v>518</v>
      </c>
      <c r="H33" s="326">
        <f t="shared" si="5"/>
        <v>386</v>
      </c>
      <c r="I33" s="326">
        <f t="shared" si="5"/>
        <v>93</v>
      </c>
      <c r="J33" s="197">
        <f t="shared" si="4"/>
        <v>997</v>
      </c>
      <c r="K33" s="326">
        <f t="shared" si="5"/>
        <v>848</v>
      </c>
      <c r="L33" s="326">
        <f t="shared" si="5"/>
        <v>538</v>
      </c>
      <c r="M33" s="326">
        <f t="shared" si="5"/>
        <v>205</v>
      </c>
      <c r="N33" s="197">
        <f t="shared" si="2"/>
        <v>1591</v>
      </c>
      <c r="O33" s="376"/>
      <c r="P33" s="209"/>
      <c r="Q33" s="554"/>
      <c r="R33" s="209"/>
      <c r="T33" s="209"/>
    </row>
    <row r="34" spans="1:20" s="103" customFormat="1" ht="12" customHeight="1">
      <c r="A34" s="54">
        <v>27</v>
      </c>
      <c r="B34" s="116" t="s">
        <v>163</v>
      </c>
      <c r="C34" s="116">
        <v>5</v>
      </c>
      <c r="D34" s="116">
        <v>28</v>
      </c>
      <c r="E34" s="116">
        <v>29</v>
      </c>
      <c r="F34" s="190">
        <f t="shared" si="0"/>
        <v>62</v>
      </c>
      <c r="G34" s="116">
        <v>3</v>
      </c>
      <c r="H34" s="116">
        <v>1</v>
      </c>
      <c r="I34" s="116">
        <v>4</v>
      </c>
      <c r="J34" s="190">
        <f t="shared" si="4"/>
        <v>8</v>
      </c>
      <c r="K34" s="116">
        <v>0</v>
      </c>
      <c r="L34" s="116">
        <v>0</v>
      </c>
      <c r="M34" s="116">
        <v>0</v>
      </c>
      <c r="N34" s="190">
        <f t="shared" si="2"/>
        <v>0</v>
      </c>
      <c r="O34" s="118">
        <v>0</v>
      </c>
      <c r="P34" s="19"/>
      <c r="Q34" s="553"/>
      <c r="R34" s="19"/>
      <c r="T34" s="19"/>
    </row>
    <row r="35" spans="1:20" s="103" customFormat="1" ht="12.75">
      <c r="A35" s="54">
        <v>28</v>
      </c>
      <c r="B35" s="57" t="s">
        <v>231</v>
      </c>
      <c r="C35" s="57">
        <v>0</v>
      </c>
      <c r="D35" s="57">
        <v>0</v>
      </c>
      <c r="E35" s="57">
        <v>0</v>
      </c>
      <c r="F35" s="190">
        <f t="shared" si="0"/>
        <v>0</v>
      </c>
      <c r="G35" s="57">
        <v>0</v>
      </c>
      <c r="H35" s="57">
        <v>0</v>
      </c>
      <c r="I35" s="57">
        <v>0</v>
      </c>
      <c r="J35" s="190">
        <f t="shared" si="4"/>
        <v>0</v>
      </c>
      <c r="K35" s="57">
        <v>0</v>
      </c>
      <c r="L35" s="57">
        <v>0</v>
      </c>
      <c r="M35" s="57">
        <v>0</v>
      </c>
      <c r="N35" s="190">
        <f t="shared" si="2"/>
        <v>0</v>
      </c>
      <c r="O35" s="19">
        <v>0</v>
      </c>
      <c r="P35" s="19"/>
      <c r="Q35" s="553"/>
      <c r="R35" s="19"/>
      <c r="T35" s="19"/>
    </row>
    <row r="36" spans="1:20" s="103" customFormat="1" ht="12.75">
      <c r="A36" s="54">
        <v>29</v>
      </c>
      <c r="B36" s="116" t="s">
        <v>218</v>
      </c>
      <c r="C36" s="116">
        <v>0</v>
      </c>
      <c r="D36" s="116">
        <v>0</v>
      </c>
      <c r="E36" s="116">
        <v>0</v>
      </c>
      <c r="F36" s="190">
        <f t="shared" si="0"/>
        <v>0</v>
      </c>
      <c r="G36" s="116">
        <v>0</v>
      </c>
      <c r="H36" s="116">
        <v>0</v>
      </c>
      <c r="I36" s="116">
        <v>0</v>
      </c>
      <c r="J36" s="190">
        <f t="shared" si="4"/>
        <v>0</v>
      </c>
      <c r="K36" s="116">
        <v>0</v>
      </c>
      <c r="L36" s="116">
        <v>0</v>
      </c>
      <c r="M36" s="116">
        <v>0</v>
      </c>
      <c r="N36" s="190">
        <f t="shared" si="2"/>
        <v>0</v>
      </c>
      <c r="O36" s="118"/>
      <c r="P36" s="19"/>
      <c r="Q36" s="553"/>
      <c r="R36" s="19"/>
      <c r="T36" s="19"/>
    </row>
    <row r="37" spans="1:20" s="103" customFormat="1" ht="12.75">
      <c r="A37" s="54">
        <v>30</v>
      </c>
      <c r="B37" s="116" t="s">
        <v>236</v>
      </c>
      <c r="C37" s="116">
        <v>21</v>
      </c>
      <c r="D37" s="116">
        <v>21</v>
      </c>
      <c r="E37" s="116">
        <v>2</v>
      </c>
      <c r="F37" s="190">
        <f t="shared" si="0"/>
        <v>44</v>
      </c>
      <c r="G37" s="116">
        <v>0</v>
      </c>
      <c r="H37" s="116">
        <v>45</v>
      </c>
      <c r="I37" s="116">
        <v>0</v>
      </c>
      <c r="J37" s="190">
        <f t="shared" si="4"/>
        <v>45</v>
      </c>
      <c r="K37" s="116">
        <v>0</v>
      </c>
      <c r="L37" s="116">
        <v>0</v>
      </c>
      <c r="M37" s="116">
        <v>0</v>
      </c>
      <c r="N37" s="190">
        <f t="shared" si="2"/>
        <v>0</v>
      </c>
      <c r="O37" s="118"/>
      <c r="P37" s="19"/>
      <c r="Q37" s="553"/>
      <c r="R37" s="19"/>
      <c r="T37" s="19"/>
    </row>
    <row r="38" spans="1:20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190">
        <f t="shared" si="0"/>
        <v>0</v>
      </c>
      <c r="G38" s="57">
        <v>0</v>
      </c>
      <c r="H38" s="57">
        <v>0</v>
      </c>
      <c r="I38" s="57">
        <v>0</v>
      </c>
      <c r="J38" s="190">
        <f t="shared" si="4"/>
        <v>0</v>
      </c>
      <c r="K38" s="57">
        <v>0</v>
      </c>
      <c r="L38" s="57">
        <v>0</v>
      </c>
      <c r="M38" s="57">
        <v>0</v>
      </c>
      <c r="N38" s="190">
        <f t="shared" si="2"/>
        <v>0</v>
      </c>
      <c r="O38" s="19">
        <v>0</v>
      </c>
      <c r="P38" s="19"/>
      <c r="Q38" s="553"/>
      <c r="R38" s="19"/>
      <c r="T38" s="19"/>
    </row>
    <row r="39" spans="1:20" s="103" customFormat="1" ht="12.75">
      <c r="A39" s="54">
        <v>32</v>
      </c>
      <c r="B39" s="116" t="s">
        <v>220</v>
      </c>
      <c r="C39" s="116">
        <v>0</v>
      </c>
      <c r="D39" s="116">
        <v>0</v>
      </c>
      <c r="E39" s="116">
        <v>0</v>
      </c>
      <c r="F39" s="190">
        <f t="shared" si="0"/>
        <v>0</v>
      </c>
      <c r="G39" s="116">
        <v>0</v>
      </c>
      <c r="H39" s="116">
        <v>0</v>
      </c>
      <c r="I39" s="116">
        <v>0</v>
      </c>
      <c r="J39" s="190">
        <f t="shared" si="4"/>
        <v>0</v>
      </c>
      <c r="K39" s="116">
        <v>0</v>
      </c>
      <c r="L39" s="116">
        <v>0</v>
      </c>
      <c r="M39" s="116">
        <v>0</v>
      </c>
      <c r="N39" s="190">
        <f t="shared" si="2"/>
        <v>0</v>
      </c>
      <c r="O39" s="118"/>
      <c r="P39" s="19"/>
      <c r="Q39" s="553"/>
      <c r="R39" s="19"/>
      <c r="T39" s="19"/>
    </row>
    <row r="40" spans="1:20" s="103" customFormat="1" ht="12.75">
      <c r="A40" s="110">
        <v>33</v>
      </c>
      <c r="B40" s="149" t="s">
        <v>363</v>
      </c>
      <c r="C40" s="116">
        <v>0</v>
      </c>
      <c r="D40" s="116">
        <v>0</v>
      </c>
      <c r="E40" s="116">
        <v>0</v>
      </c>
      <c r="F40" s="190">
        <f t="shared" si="0"/>
        <v>0</v>
      </c>
      <c r="G40" s="116">
        <v>0</v>
      </c>
      <c r="H40" s="116">
        <v>0</v>
      </c>
      <c r="I40" s="116">
        <v>0</v>
      </c>
      <c r="J40" s="190">
        <f t="shared" si="4"/>
        <v>0</v>
      </c>
      <c r="K40" s="116">
        <v>0</v>
      </c>
      <c r="L40" s="116">
        <v>0</v>
      </c>
      <c r="M40" s="116">
        <v>0</v>
      </c>
      <c r="N40" s="190">
        <f t="shared" si="2"/>
        <v>0</v>
      </c>
      <c r="O40" s="118"/>
      <c r="P40" s="19"/>
      <c r="Q40" s="553"/>
      <c r="R40" s="19"/>
      <c r="T40" s="19"/>
    </row>
    <row r="41" spans="1:20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3</v>
      </c>
      <c r="F41" s="190">
        <f t="shared" si="0"/>
        <v>3</v>
      </c>
      <c r="G41" s="57">
        <v>0</v>
      </c>
      <c r="H41" s="57">
        <v>0</v>
      </c>
      <c r="I41" s="57">
        <v>0</v>
      </c>
      <c r="J41" s="190">
        <f t="shared" si="4"/>
        <v>0</v>
      </c>
      <c r="K41" s="57">
        <v>0</v>
      </c>
      <c r="L41" s="57">
        <v>0</v>
      </c>
      <c r="M41" s="57">
        <v>2</v>
      </c>
      <c r="N41" s="190">
        <f t="shared" si="2"/>
        <v>2</v>
      </c>
      <c r="O41" s="19">
        <v>0</v>
      </c>
      <c r="P41" s="19"/>
      <c r="Q41" s="553"/>
      <c r="R41" s="19"/>
      <c r="T41" s="19"/>
    </row>
    <row r="42" spans="1:20" ht="12.75">
      <c r="A42" s="54">
        <v>35</v>
      </c>
      <c r="B42" s="116" t="s">
        <v>256</v>
      </c>
      <c r="C42" s="116">
        <v>0</v>
      </c>
      <c r="D42" s="116">
        <v>1</v>
      </c>
      <c r="E42" s="116">
        <v>17</v>
      </c>
      <c r="F42" s="190">
        <f t="shared" si="0"/>
        <v>18</v>
      </c>
      <c r="G42" s="116">
        <v>0</v>
      </c>
      <c r="H42" s="116">
        <v>0</v>
      </c>
      <c r="I42" s="116">
        <v>0</v>
      </c>
      <c r="J42" s="190">
        <f t="shared" si="4"/>
        <v>0</v>
      </c>
      <c r="K42" s="116">
        <v>0</v>
      </c>
      <c r="L42" s="116">
        <v>0</v>
      </c>
      <c r="M42" s="116">
        <v>0</v>
      </c>
      <c r="N42" s="190">
        <f t="shared" si="2"/>
        <v>0</v>
      </c>
      <c r="O42" s="118">
        <v>64.48</v>
      </c>
      <c r="P42" s="118"/>
      <c r="Q42" s="374"/>
      <c r="T42" s="118"/>
    </row>
    <row r="43" spans="1:20" ht="12.75">
      <c r="A43" s="54">
        <v>36</v>
      </c>
      <c r="B43" s="116" t="s">
        <v>24</v>
      </c>
      <c r="C43" s="116">
        <v>0</v>
      </c>
      <c r="D43" s="116">
        <v>8</v>
      </c>
      <c r="E43" s="116">
        <v>5</v>
      </c>
      <c r="F43" s="190">
        <f t="shared" si="0"/>
        <v>13</v>
      </c>
      <c r="G43" s="116">
        <v>0</v>
      </c>
      <c r="H43" s="116">
        <v>0</v>
      </c>
      <c r="I43" s="116">
        <v>0</v>
      </c>
      <c r="J43" s="190">
        <f t="shared" si="4"/>
        <v>0</v>
      </c>
      <c r="K43" s="116">
        <v>0</v>
      </c>
      <c r="L43" s="116">
        <v>0</v>
      </c>
      <c r="M43" s="116">
        <v>0</v>
      </c>
      <c r="N43" s="190">
        <f t="shared" si="2"/>
        <v>0</v>
      </c>
      <c r="O43" s="118">
        <v>0</v>
      </c>
      <c r="P43" s="118"/>
      <c r="Q43" s="374"/>
      <c r="T43" s="118"/>
    </row>
    <row r="44" spans="1:20" ht="12.75">
      <c r="A44" s="54">
        <v>37</v>
      </c>
      <c r="B44" s="116" t="s">
        <v>223</v>
      </c>
      <c r="C44" s="116">
        <v>0</v>
      </c>
      <c r="D44" s="116">
        <v>0</v>
      </c>
      <c r="E44" s="116">
        <v>0</v>
      </c>
      <c r="F44" s="190">
        <f t="shared" si="0"/>
        <v>0</v>
      </c>
      <c r="G44" s="116">
        <v>0</v>
      </c>
      <c r="H44" s="116">
        <v>0</v>
      </c>
      <c r="I44" s="116">
        <v>0</v>
      </c>
      <c r="J44" s="190">
        <f t="shared" si="4"/>
        <v>0</v>
      </c>
      <c r="K44" s="116">
        <v>0</v>
      </c>
      <c r="L44" s="116">
        <v>0</v>
      </c>
      <c r="M44" s="116">
        <v>0</v>
      </c>
      <c r="N44" s="190">
        <f t="shared" si="2"/>
        <v>0</v>
      </c>
      <c r="O44" s="118"/>
      <c r="P44" s="118"/>
      <c r="Q44" s="374"/>
      <c r="T44" s="118"/>
    </row>
    <row r="45" spans="1:20" ht="12.75">
      <c r="A45" s="54">
        <v>38</v>
      </c>
      <c r="B45" s="116" t="s">
        <v>364</v>
      </c>
      <c r="C45" s="116">
        <v>0</v>
      </c>
      <c r="D45" s="116">
        <v>0</v>
      </c>
      <c r="E45" s="116">
        <v>0</v>
      </c>
      <c r="F45" s="190">
        <f>C45+D45+E45</f>
        <v>0</v>
      </c>
      <c r="G45" s="116">
        <v>0</v>
      </c>
      <c r="H45" s="116">
        <v>0</v>
      </c>
      <c r="I45" s="116">
        <v>0</v>
      </c>
      <c r="J45" s="190">
        <f>G45+H45+I45</f>
        <v>0</v>
      </c>
      <c r="K45" s="116">
        <v>0</v>
      </c>
      <c r="L45" s="116">
        <v>0</v>
      </c>
      <c r="M45" s="116">
        <v>0</v>
      </c>
      <c r="N45" s="190">
        <f>K45+L45+M45</f>
        <v>0</v>
      </c>
      <c r="O45" s="118"/>
      <c r="P45" s="118"/>
      <c r="Q45" s="374"/>
      <c r="T45" s="118"/>
    </row>
    <row r="46" spans="1:20" ht="12.75">
      <c r="A46" s="54">
        <v>39</v>
      </c>
      <c r="B46" s="116" t="s">
        <v>366</v>
      </c>
      <c r="C46" s="116">
        <v>13</v>
      </c>
      <c r="D46" s="116">
        <v>0</v>
      </c>
      <c r="E46" s="116">
        <v>11</v>
      </c>
      <c r="F46" s="190">
        <f t="shared" si="0"/>
        <v>24</v>
      </c>
      <c r="G46" s="116">
        <v>0</v>
      </c>
      <c r="H46" s="116">
        <v>0</v>
      </c>
      <c r="I46" s="116">
        <v>0</v>
      </c>
      <c r="J46" s="190">
        <f t="shared" si="4"/>
        <v>0</v>
      </c>
      <c r="K46" s="116">
        <v>0</v>
      </c>
      <c r="L46" s="116">
        <v>0</v>
      </c>
      <c r="M46" s="116">
        <v>0</v>
      </c>
      <c r="N46" s="190">
        <f t="shared" si="2"/>
        <v>0</v>
      </c>
      <c r="O46" s="118"/>
      <c r="P46" s="118"/>
      <c r="Q46" s="374"/>
      <c r="T46" s="118"/>
    </row>
    <row r="47" spans="1:20" s="334" customFormat="1" ht="14.25">
      <c r="A47" s="325"/>
      <c r="B47" s="326" t="s">
        <v>225</v>
      </c>
      <c r="C47" s="326">
        <f aca="true" t="shared" si="6" ref="C47:N47">SUM(C34:C46)</f>
        <v>39</v>
      </c>
      <c r="D47" s="326">
        <f t="shared" si="6"/>
        <v>58</v>
      </c>
      <c r="E47" s="326">
        <f t="shared" si="6"/>
        <v>67</v>
      </c>
      <c r="F47" s="197">
        <f t="shared" si="6"/>
        <v>164</v>
      </c>
      <c r="G47" s="326">
        <f t="shared" si="6"/>
        <v>3</v>
      </c>
      <c r="H47" s="326">
        <f t="shared" si="6"/>
        <v>46</v>
      </c>
      <c r="I47" s="326">
        <f t="shared" si="6"/>
        <v>4</v>
      </c>
      <c r="J47" s="197">
        <f t="shared" si="6"/>
        <v>53</v>
      </c>
      <c r="K47" s="326">
        <f t="shared" si="6"/>
        <v>0</v>
      </c>
      <c r="L47" s="326">
        <f t="shared" si="6"/>
        <v>0</v>
      </c>
      <c r="M47" s="326">
        <f t="shared" si="6"/>
        <v>2</v>
      </c>
      <c r="N47" s="197">
        <f t="shared" si="6"/>
        <v>2</v>
      </c>
      <c r="O47" s="376"/>
      <c r="P47" s="376"/>
      <c r="Q47" s="377"/>
      <c r="R47" s="376"/>
      <c r="T47" s="376"/>
    </row>
    <row r="48" spans="1:20" s="334" customFormat="1" ht="19.5" customHeight="1">
      <c r="A48" s="325"/>
      <c r="B48" s="328" t="s">
        <v>123</v>
      </c>
      <c r="C48" s="326">
        <f aca="true" t="shared" si="7" ref="C48:N48">C25+C33+C47</f>
        <v>6992</v>
      </c>
      <c r="D48" s="326">
        <f t="shared" si="7"/>
        <v>10901</v>
      </c>
      <c r="E48" s="326">
        <f t="shared" si="7"/>
        <v>4282</v>
      </c>
      <c r="F48" s="197">
        <f t="shared" si="7"/>
        <v>22175</v>
      </c>
      <c r="G48" s="326">
        <f t="shared" si="7"/>
        <v>1395</v>
      </c>
      <c r="H48" s="326">
        <f t="shared" si="7"/>
        <v>1265</v>
      </c>
      <c r="I48" s="326">
        <f t="shared" si="7"/>
        <v>413</v>
      </c>
      <c r="J48" s="197">
        <f t="shared" si="7"/>
        <v>3073</v>
      </c>
      <c r="K48" s="326">
        <f t="shared" si="7"/>
        <v>1806</v>
      </c>
      <c r="L48" s="326">
        <f t="shared" si="7"/>
        <v>1951</v>
      </c>
      <c r="M48" s="326">
        <f t="shared" si="7"/>
        <v>510</v>
      </c>
      <c r="N48" s="197">
        <f t="shared" si="7"/>
        <v>4267</v>
      </c>
      <c r="O48" s="377"/>
      <c r="P48" s="377"/>
      <c r="Q48" s="377"/>
      <c r="R48" s="376"/>
      <c r="T48" s="376"/>
    </row>
    <row r="49" spans="2:20" ht="19.5" customHeight="1">
      <c r="B49" s="329"/>
      <c r="C49" s="329"/>
      <c r="D49" s="329"/>
      <c r="O49" s="297"/>
      <c r="P49" s="297"/>
      <c r="Q49" s="297"/>
      <c r="R49" s="297"/>
      <c r="S49" s="292"/>
      <c r="T49" s="297"/>
    </row>
    <row r="50" spans="2:20" ht="19.5" customHeight="1">
      <c r="B50" s="329"/>
      <c r="C50" s="329"/>
      <c r="D50" s="329"/>
      <c r="O50" s="297"/>
      <c r="P50" s="297"/>
      <c r="Q50" s="297"/>
      <c r="R50" s="297"/>
      <c r="S50" s="292"/>
      <c r="T50" s="297"/>
    </row>
    <row r="51" spans="2:20" ht="19.5" customHeight="1">
      <c r="B51" s="329"/>
      <c r="C51" s="329"/>
      <c r="D51" s="329"/>
      <c r="O51" s="297"/>
      <c r="P51" s="297"/>
      <c r="Q51" s="297"/>
      <c r="R51" s="297"/>
      <c r="S51" s="292"/>
      <c r="T51" s="297"/>
    </row>
    <row r="52" spans="1:20" ht="15.75" customHeight="1">
      <c r="A52" s="352" t="s">
        <v>4</v>
      </c>
      <c r="B52" s="352" t="s">
        <v>5</v>
      </c>
      <c r="C52" s="633" t="s">
        <v>204</v>
      </c>
      <c r="D52" s="634"/>
      <c r="E52" s="634"/>
      <c r="F52" s="635"/>
      <c r="G52" s="633" t="s">
        <v>205</v>
      </c>
      <c r="H52" s="634"/>
      <c r="I52" s="634"/>
      <c r="J52" s="635"/>
      <c r="K52" s="633" t="s">
        <v>206</v>
      </c>
      <c r="L52" s="634"/>
      <c r="M52" s="634"/>
      <c r="N52" s="635"/>
      <c r="O52" s="297"/>
      <c r="P52" s="297"/>
      <c r="Q52" s="297"/>
      <c r="R52" s="297"/>
      <c r="S52" s="292"/>
      <c r="T52" s="297"/>
    </row>
    <row r="53" spans="1:20" ht="12.75">
      <c r="A53" s="332"/>
      <c r="B53" s="332"/>
      <c r="C53" s="323" t="s">
        <v>201</v>
      </c>
      <c r="D53" s="323" t="s">
        <v>202</v>
      </c>
      <c r="E53" s="323" t="s">
        <v>203</v>
      </c>
      <c r="F53" s="266" t="s">
        <v>3</v>
      </c>
      <c r="G53" s="323" t="s">
        <v>201</v>
      </c>
      <c r="H53" s="323" t="s">
        <v>202</v>
      </c>
      <c r="I53" s="323" t="s">
        <v>203</v>
      </c>
      <c r="J53" s="266" t="s">
        <v>3</v>
      </c>
      <c r="K53" s="323" t="s">
        <v>201</v>
      </c>
      <c r="L53" s="323" t="s">
        <v>202</v>
      </c>
      <c r="M53" s="323" t="s">
        <v>203</v>
      </c>
      <c r="N53" s="266" t="s">
        <v>3</v>
      </c>
      <c r="O53" s="297"/>
      <c r="P53" s="297"/>
      <c r="Q53" s="297"/>
      <c r="R53" s="297"/>
      <c r="S53" s="292"/>
      <c r="T53" s="297"/>
    </row>
    <row r="54" spans="1:17" ht="15.75" customHeight="1">
      <c r="A54" s="54">
        <v>40</v>
      </c>
      <c r="B54" s="57" t="s">
        <v>78</v>
      </c>
      <c r="C54" s="116">
        <v>0</v>
      </c>
      <c r="D54" s="116">
        <v>0</v>
      </c>
      <c r="E54" s="116">
        <v>0</v>
      </c>
      <c r="F54" s="190">
        <f aca="true" t="shared" si="8" ref="F54:F61">C54+D54+E54</f>
        <v>0</v>
      </c>
      <c r="G54" s="116">
        <v>0</v>
      </c>
      <c r="H54" s="116">
        <v>0</v>
      </c>
      <c r="I54" s="116">
        <v>0</v>
      </c>
      <c r="J54" s="190">
        <f aca="true" t="shared" si="9" ref="J54:J61">G54+H54+I54</f>
        <v>0</v>
      </c>
      <c r="K54" s="116">
        <v>0</v>
      </c>
      <c r="L54" s="116">
        <v>0</v>
      </c>
      <c r="M54" s="116">
        <v>0</v>
      </c>
      <c r="N54" s="190">
        <f aca="true" t="shared" si="10" ref="N54:N61">K54+L54+M54</f>
        <v>0</v>
      </c>
      <c r="Q54" s="374"/>
    </row>
    <row r="55" spans="1:17" ht="15.75" customHeight="1">
      <c r="A55" s="54">
        <v>41</v>
      </c>
      <c r="B55" s="57" t="s">
        <v>278</v>
      </c>
      <c r="C55" s="116">
        <v>0</v>
      </c>
      <c r="D55" s="116">
        <v>0</v>
      </c>
      <c r="E55" s="116">
        <v>0</v>
      </c>
      <c r="F55" s="190">
        <f t="shared" si="8"/>
        <v>0</v>
      </c>
      <c r="G55" s="116">
        <v>210</v>
      </c>
      <c r="H55" s="116">
        <v>119</v>
      </c>
      <c r="I55" s="116">
        <v>24</v>
      </c>
      <c r="J55" s="190">
        <f t="shared" si="9"/>
        <v>353</v>
      </c>
      <c r="K55" s="116">
        <v>166</v>
      </c>
      <c r="L55" s="116">
        <v>97</v>
      </c>
      <c r="M55" s="116">
        <v>35</v>
      </c>
      <c r="N55" s="190">
        <f t="shared" si="10"/>
        <v>298</v>
      </c>
      <c r="Q55" s="374"/>
    </row>
    <row r="56" spans="1:17" ht="15.75" customHeight="1">
      <c r="A56" s="54">
        <v>42</v>
      </c>
      <c r="B56" s="57" t="s">
        <v>30</v>
      </c>
      <c r="C56" s="116">
        <v>0</v>
      </c>
      <c r="D56" s="116">
        <v>0</v>
      </c>
      <c r="E56" s="116">
        <v>0</v>
      </c>
      <c r="F56" s="190">
        <f t="shared" si="8"/>
        <v>0</v>
      </c>
      <c r="G56" s="116">
        <v>46</v>
      </c>
      <c r="H56" s="116">
        <v>11</v>
      </c>
      <c r="I56" s="116">
        <v>1</v>
      </c>
      <c r="J56" s="190">
        <f t="shared" si="9"/>
        <v>58</v>
      </c>
      <c r="K56" s="116">
        <v>5</v>
      </c>
      <c r="L56" s="116">
        <v>0</v>
      </c>
      <c r="M56" s="116">
        <v>0</v>
      </c>
      <c r="N56" s="190">
        <f t="shared" si="10"/>
        <v>5</v>
      </c>
      <c r="Q56" s="374"/>
    </row>
    <row r="57" spans="1:17" ht="15.75" customHeight="1">
      <c r="A57" s="54">
        <v>43</v>
      </c>
      <c r="B57" s="57" t="s">
        <v>234</v>
      </c>
      <c r="C57" s="116">
        <v>0</v>
      </c>
      <c r="D57" s="116">
        <v>0</v>
      </c>
      <c r="E57" s="116">
        <v>0</v>
      </c>
      <c r="F57" s="190">
        <f t="shared" si="8"/>
        <v>0</v>
      </c>
      <c r="G57" s="116">
        <v>13</v>
      </c>
      <c r="H57" s="116">
        <v>59</v>
      </c>
      <c r="I57" s="116">
        <v>1</v>
      </c>
      <c r="J57" s="190">
        <f t="shared" si="9"/>
        <v>73</v>
      </c>
      <c r="K57" s="116">
        <v>14</v>
      </c>
      <c r="L57" s="116">
        <v>86</v>
      </c>
      <c r="M57" s="116">
        <v>5</v>
      </c>
      <c r="N57" s="190">
        <f t="shared" si="10"/>
        <v>105</v>
      </c>
      <c r="Q57" s="374"/>
    </row>
    <row r="58" spans="1:17" ht="15.75" customHeight="1">
      <c r="A58" s="54">
        <v>44</v>
      </c>
      <c r="B58" s="57" t="s">
        <v>29</v>
      </c>
      <c r="C58" s="116">
        <v>0</v>
      </c>
      <c r="D58" s="116">
        <v>0</v>
      </c>
      <c r="E58" s="116">
        <v>0</v>
      </c>
      <c r="F58" s="190">
        <f t="shared" si="8"/>
        <v>0</v>
      </c>
      <c r="G58" s="116">
        <v>0</v>
      </c>
      <c r="H58" s="116">
        <v>0</v>
      </c>
      <c r="I58" s="116">
        <v>0</v>
      </c>
      <c r="J58" s="190">
        <f t="shared" si="9"/>
        <v>0</v>
      </c>
      <c r="K58" s="116">
        <v>5</v>
      </c>
      <c r="L58" s="116">
        <v>4</v>
      </c>
      <c r="M58" s="116">
        <v>0</v>
      </c>
      <c r="N58" s="190">
        <f t="shared" si="10"/>
        <v>9</v>
      </c>
      <c r="Q58" s="374"/>
    </row>
    <row r="59" spans="1:17" ht="15.75" customHeight="1">
      <c r="A59" s="54">
        <v>45</v>
      </c>
      <c r="B59" s="57" t="s">
        <v>391</v>
      </c>
      <c r="C59" s="116">
        <v>0</v>
      </c>
      <c r="D59" s="116">
        <v>0</v>
      </c>
      <c r="E59" s="116">
        <v>0</v>
      </c>
      <c r="F59" s="190">
        <f t="shared" si="8"/>
        <v>0</v>
      </c>
      <c r="G59" s="116">
        <v>224</v>
      </c>
      <c r="H59" s="116">
        <v>321</v>
      </c>
      <c r="I59" s="116">
        <v>2</v>
      </c>
      <c r="J59" s="190">
        <f t="shared" si="9"/>
        <v>547</v>
      </c>
      <c r="K59" s="116">
        <v>33</v>
      </c>
      <c r="L59" s="116">
        <v>48</v>
      </c>
      <c r="M59" s="116">
        <v>1</v>
      </c>
      <c r="N59" s="190">
        <f t="shared" si="10"/>
        <v>82</v>
      </c>
      <c r="Q59" s="374"/>
    </row>
    <row r="60" spans="1:17" ht="15.75" customHeight="1">
      <c r="A60" s="54">
        <v>46</v>
      </c>
      <c r="B60" s="57" t="s">
        <v>25</v>
      </c>
      <c r="C60" s="116">
        <v>0</v>
      </c>
      <c r="D60" s="116">
        <v>0</v>
      </c>
      <c r="E60" s="116">
        <v>0</v>
      </c>
      <c r="F60" s="190">
        <f t="shared" si="8"/>
        <v>0</v>
      </c>
      <c r="G60" s="116">
        <v>4</v>
      </c>
      <c r="H60" s="116">
        <v>10</v>
      </c>
      <c r="I60" s="116">
        <v>0</v>
      </c>
      <c r="J60" s="190">
        <f t="shared" si="9"/>
        <v>14</v>
      </c>
      <c r="K60" s="116">
        <v>15</v>
      </c>
      <c r="L60" s="116">
        <v>73</v>
      </c>
      <c r="M60" s="116">
        <v>0</v>
      </c>
      <c r="N60" s="190">
        <f t="shared" si="10"/>
        <v>88</v>
      </c>
      <c r="Q60" s="374"/>
    </row>
    <row r="61" spans="1:17" ht="15.75" customHeight="1">
      <c r="A61" s="54">
        <v>47</v>
      </c>
      <c r="B61" s="57" t="s">
        <v>28</v>
      </c>
      <c r="C61" s="116">
        <v>0</v>
      </c>
      <c r="D61" s="116">
        <v>0</v>
      </c>
      <c r="E61" s="116">
        <v>0</v>
      </c>
      <c r="F61" s="190">
        <f t="shared" si="8"/>
        <v>0</v>
      </c>
      <c r="G61" s="116">
        <v>3</v>
      </c>
      <c r="H61" s="116">
        <v>28</v>
      </c>
      <c r="I61" s="116">
        <v>0</v>
      </c>
      <c r="J61" s="190">
        <f t="shared" si="9"/>
        <v>31</v>
      </c>
      <c r="K61" s="116">
        <v>3</v>
      </c>
      <c r="L61" s="116">
        <v>6</v>
      </c>
      <c r="M61" s="116">
        <v>0</v>
      </c>
      <c r="N61" s="190">
        <f t="shared" si="10"/>
        <v>9</v>
      </c>
      <c r="Q61" s="374"/>
    </row>
    <row r="62" spans="1:18" s="334" customFormat="1" ht="15.75" customHeight="1">
      <c r="A62" s="54"/>
      <c r="B62" s="328" t="s">
        <v>123</v>
      </c>
      <c r="C62" s="326">
        <f aca="true" t="shared" si="11" ref="C62:N62">SUM(C54:C61)</f>
        <v>0</v>
      </c>
      <c r="D62" s="326">
        <f t="shared" si="11"/>
        <v>0</v>
      </c>
      <c r="E62" s="326">
        <f t="shared" si="11"/>
        <v>0</v>
      </c>
      <c r="F62" s="197">
        <f t="shared" si="11"/>
        <v>0</v>
      </c>
      <c r="G62" s="326">
        <f t="shared" si="11"/>
        <v>500</v>
      </c>
      <c r="H62" s="326">
        <f t="shared" si="11"/>
        <v>548</v>
      </c>
      <c r="I62" s="326">
        <f t="shared" si="11"/>
        <v>28</v>
      </c>
      <c r="J62" s="197">
        <f t="shared" si="11"/>
        <v>1076</v>
      </c>
      <c r="K62" s="326">
        <f t="shared" si="11"/>
        <v>241</v>
      </c>
      <c r="L62" s="326">
        <f t="shared" si="11"/>
        <v>314</v>
      </c>
      <c r="M62" s="326">
        <f t="shared" si="11"/>
        <v>41</v>
      </c>
      <c r="N62" s="197">
        <f t="shared" si="11"/>
        <v>596</v>
      </c>
      <c r="O62" s="377"/>
      <c r="P62" s="377"/>
      <c r="R62" s="376"/>
    </row>
    <row r="63" spans="1:14" ht="15.75" customHeight="1">
      <c r="A63" s="54"/>
      <c r="C63" s="116"/>
      <c r="D63" s="116"/>
      <c r="E63" s="116"/>
      <c r="F63" s="190"/>
      <c r="G63" s="116"/>
      <c r="H63" s="116"/>
      <c r="I63" s="116"/>
      <c r="J63" s="190"/>
      <c r="K63" s="116"/>
      <c r="L63" s="116"/>
      <c r="M63" s="116"/>
      <c r="N63" s="190"/>
    </row>
    <row r="64" spans="1:14" ht="15.75" customHeight="1">
      <c r="A64" s="54">
        <v>48</v>
      </c>
      <c r="B64" s="116" t="s">
        <v>34</v>
      </c>
      <c r="C64" s="116">
        <v>0</v>
      </c>
      <c r="D64" s="116">
        <v>0</v>
      </c>
      <c r="E64" s="116">
        <v>0</v>
      </c>
      <c r="F64" s="190">
        <f>C64+D64+E64</f>
        <v>0</v>
      </c>
      <c r="G64" s="116">
        <v>0</v>
      </c>
      <c r="H64" s="116">
        <v>0</v>
      </c>
      <c r="I64" s="116">
        <v>0</v>
      </c>
      <c r="J64" s="190">
        <f>G64+H64+I64</f>
        <v>0</v>
      </c>
      <c r="K64" s="116">
        <v>0</v>
      </c>
      <c r="L64" s="116">
        <v>0</v>
      </c>
      <c r="M64" s="116">
        <v>0</v>
      </c>
      <c r="N64" s="190">
        <f>K64+L64+M64</f>
        <v>0</v>
      </c>
    </row>
    <row r="65" spans="1:14" ht="15.75" customHeight="1">
      <c r="A65" s="54">
        <v>49</v>
      </c>
      <c r="B65" s="116" t="s">
        <v>130</v>
      </c>
      <c r="C65" s="116">
        <v>0</v>
      </c>
      <c r="D65" s="116">
        <v>0</v>
      </c>
      <c r="E65" s="116">
        <v>0</v>
      </c>
      <c r="F65" s="190">
        <f>C65+D65+E65</f>
        <v>0</v>
      </c>
      <c r="G65" s="116">
        <v>0</v>
      </c>
      <c r="H65" s="116">
        <v>0</v>
      </c>
      <c r="I65" s="116">
        <v>0</v>
      </c>
      <c r="J65" s="190">
        <f>G65+H65+I65</f>
        <v>0</v>
      </c>
      <c r="K65" s="116">
        <v>0</v>
      </c>
      <c r="L65" s="116">
        <v>0</v>
      </c>
      <c r="M65" s="116">
        <v>0</v>
      </c>
      <c r="N65" s="190">
        <f>K65+L65+M65</f>
        <v>0</v>
      </c>
    </row>
    <row r="66" spans="1:18" s="334" customFormat="1" ht="15.75" customHeight="1">
      <c r="A66" s="325"/>
      <c r="B66" s="328" t="s">
        <v>123</v>
      </c>
      <c r="C66" s="326">
        <f aca="true" t="shared" si="12" ref="C66:N66">SUM(C64:C65)</f>
        <v>0</v>
      </c>
      <c r="D66" s="326">
        <f t="shared" si="12"/>
        <v>0</v>
      </c>
      <c r="E66" s="326">
        <f t="shared" si="12"/>
        <v>0</v>
      </c>
      <c r="F66" s="197">
        <f t="shared" si="12"/>
        <v>0</v>
      </c>
      <c r="G66" s="326">
        <f>SUM(G64:G65)</f>
        <v>0</v>
      </c>
      <c r="H66" s="326">
        <f>SUM(H64:H65)</f>
        <v>0</v>
      </c>
      <c r="I66" s="326">
        <f>SUM(I64:I65)</f>
        <v>0</v>
      </c>
      <c r="J66" s="197">
        <f t="shared" si="12"/>
        <v>0</v>
      </c>
      <c r="K66" s="326">
        <f t="shared" si="12"/>
        <v>0</v>
      </c>
      <c r="L66" s="326">
        <f t="shared" si="12"/>
        <v>0</v>
      </c>
      <c r="M66" s="326">
        <f t="shared" si="12"/>
        <v>0</v>
      </c>
      <c r="N66" s="197">
        <f t="shared" si="12"/>
        <v>0</v>
      </c>
      <c r="O66" s="377"/>
      <c r="P66" s="377"/>
      <c r="R66" s="376"/>
    </row>
    <row r="67" spans="1:18" s="334" customFormat="1" ht="15.75" customHeight="1">
      <c r="A67" s="325"/>
      <c r="B67" s="328" t="s">
        <v>35</v>
      </c>
      <c r="C67" s="326">
        <f aca="true" t="shared" si="13" ref="C67:N67">+C48+C62+C66</f>
        <v>6992</v>
      </c>
      <c r="D67" s="326">
        <f t="shared" si="13"/>
        <v>10901</v>
      </c>
      <c r="E67" s="326">
        <f t="shared" si="13"/>
        <v>4282</v>
      </c>
      <c r="F67" s="197">
        <f t="shared" si="13"/>
        <v>22175</v>
      </c>
      <c r="G67" s="326">
        <f t="shared" si="13"/>
        <v>1895</v>
      </c>
      <c r="H67" s="326">
        <f t="shared" si="13"/>
        <v>1813</v>
      </c>
      <c r="I67" s="326">
        <f t="shared" si="13"/>
        <v>441</v>
      </c>
      <c r="J67" s="197">
        <f t="shared" si="13"/>
        <v>4149</v>
      </c>
      <c r="K67" s="326">
        <f t="shared" si="13"/>
        <v>2047</v>
      </c>
      <c r="L67" s="326">
        <f t="shared" si="13"/>
        <v>2265</v>
      </c>
      <c r="M67" s="326">
        <f t="shared" si="13"/>
        <v>551</v>
      </c>
      <c r="N67" s="197">
        <f t="shared" si="13"/>
        <v>4863</v>
      </c>
      <c r="O67" s="377"/>
      <c r="P67" s="377"/>
      <c r="R67" s="376"/>
    </row>
    <row r="70" ht="12.75">
      <c r="B70" s="120"/>
    </row>
    <row r="71" spans="2:4" ht="12.75">
      <c r="B71" s="120"/>
      <c r="D71" s="127">
        <v>5</v>
      </c>
    </row>
  </sheetData>
  <sheetProtection/>
  <mergeCells count="6">
    <mergeCell ref="C4:F4"/>
    <mergeCell ref="G4:J4"/>
    <mergeCell ref="K4:N4"/>
    <mergeCell ref="C52:F52"/>
    <mergeCell ref="G52:J52"/>
    <mergeCell ref="K52:N52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70" r:id="rId2"/>
  <rowBreaks count="1" manualBreakCount="1">
    <brk id="48" max="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73"/>
  <sheetViews>
    <sheetView zoomScale="110" zoomScaleNormal="110" zoomScalePageLayoutView="0" workbookViewId="0" topLeftCell="A1">
      <selection activeCell="R78" sqref="R78"/>
    </sheetView>
  </sheetViews>
  <sheetFormatPr defaultColWidth="9.140625" defaultRowHeight="12.75"/>
  <cols>
    <col min="1" max="1" width="3.7109375" style="103" customWidth="1"/>
    <col min="2" max="2" width="21.8515625" style="103" customWidth="1"/>
    <col min="3" max="5" width="11.28125" style="22" customWidth="1"/>
    <col min="6" max="6" width="11.28125" style="99" customWidth="1"/>
    <col min="7" max="9" width="11.28125" style="22" customWidth="1"/>
    <col min="10" max="10" width="11.28125" style="99" customWidth="1"/>
    <col min="11" max="13" width="11.28125" style="22" customWidth="1"/>
    <col min="14" max="14" width="11.28125" style="99" customWidth="1"/>
    <col min="15" max="17" width="11.28125" style="22" customWidth="1"/>
    <col min="18" max="18" width="11.28125" style="99" customWidth="1"/>
    <col min="19" max="19" width="5.57421875" style="22" hidden="1" customWidth="1"/>
    <col min="20" max="20" width="5.57421875" style="22" customWidth="1"/>
    <col min="21" max="21" width="9.57421875" style="103" customWidth="1"/>
    <col min="22" max="22" width="9.140625" style="19" customWidth="1"/>
    <col min="23" max="23" width="9.140625" style="103" customWidth="1"/>
    <col min="24" max="24" width="11.57421875" style="103" customWidth="1"/>
    <col min="25" max="16384" width="9.140625" style="103" customWidth="1"/>
  </cols>
  <sheetData>
    <row r="1" spans="1:23" ht="15">
      <c r="A1" s="201"/>
      <c r="B1" s="498"/>
      <c r="C1" s="36"/>
      <c r="D1" s="36"/>
      <c r="E1" s="36"/>
      <c r="F1" s="251"/>
      <c r="G1" s="36"/>
      <c r="H1" s="36"/>
      <c r="I1" s="36"/>
      <c r="J1" s="251"/>
      <c r="K1" s="36"/>
      <c r="L1" s="36"/>
      <c r="M1" s="36"/>
      <c r="N1" s="251"/>
      <c r="O1" s="36"/>
      <c r="P1" s="36"/>
      <c r="Q1" s="36"/>
      <c r="R1" s="251"/>
      <c r="S1" s="21"/>
      <c r="T1" s="21"/>
      <c r="U1" s="500"/>
      <c r="V1" s="499"/>
      <c r="W1" s="500"/>
    </row>
    <row r="2" spans="1:18" ht="12.75">
      <c r="A2" s="201"/>
      <c r="B2" s="201"/>
      <c r="C2" s="68"/>
      <c r="D2" s="68"/>
      <c r="E2" s="68"/>
      <c r="F2" s="191"/>
      <c r="G2" s="67"/>
      <c r="H2" s="67"/>
      <c r="I2" s="67"/>
      <c r="J2" s="191"/>
      <c r="K2" s="67"/>
      <c r="L2" s="67"/>
      <c r="M2" s="67"/>
      <c r="N2" s="191"/>
      <c r="O2" s="67"/>
      <c r="P2" s="67"/>
      <c r="Q2" s="67"/>
      <c r="R2" s="191"/>
    </row>
    <row r="3" spans="1:24" ht="19.5" customHeight="1">
      <c r="A3" s="102"/>
      <c r="B3" s="102"/>
      <c r="C3" s="67"/>
      <c r="D3" s="67"/>
      <c r="E3" s="67"/>
      <c r="F3" s="191"/>
      <c r="G3" s="67"/>
      <c r="H3" s="67"/>
      <c r="I3" s="67"/>
      <c r="J3" s="191"/>
      <c r="K3" s="67"/>
      <c r="L3" s="67"/>
      <c r="M3" s="67"/>
      <c r="N3" s="191"/>
      <c r="O3" s="67"/>
      <c r="P3" s="67"/>
      <c r="Q3" s="67"/>
      <c r="R3" s="191"/>
      <c r="S3" s="20"/>
      <c r="T3" s="20"/>
      <c r="V3" s="20"/>
      <c r="W3" s="105"/>
      <c r="X3" s="105"/>
    </row>
    <row r="4" spans="1:24" ht="18" customHeight="1">
      <c r="A4" s="202" t="s">
        <v>4</v>
      </c>
      <c r="B4" s="202" t="s">
        <v>5</v>
      </c>
      <c r="C4" s="659" t="s">
        <v>207</v>
      </c>
      <c r="D4" s="670"/>
      <c r="E4" s="670"/>
      <c r="F4" s="660"/>
      <c r="G4" s="659" t="s">
        <v>195</v>
      </c>
      <c r="H4" s="670"/>
      <c r="I4" s="670"/>
      <c r="J4" s="660"/>
      <c r="K4" s="659" t="s">
        <v>208</v>
      </c>
      <c r="L4" s="670"/>
      <c r="M4" s="670"/>
      <c r="N4" s="660"/>
      <c r="O4" s="659" t="s">
        <v>209</v>
      </c>
      <c r="P4" s="670"/>
      <c r="Q4" s="670"/>
      <c r="R4" s="660"/>
      <c r="S4" s="207"/>
      <c r="T4" s="659" t="s">
        <v>425</v>
      </c>
      <c r="U4" s="670"/>
      <c r="V4" s="670"/>
      <c r="W4" s="660"/>
      <c r="X4" s="503"/>
    </row>
    <row r="5" spans="1:24" ht="12.75">
      <c r="A5" s="186"/>
      <c r="B5" s="186"/>
      <c r="C5" s="143" t="s">
        <v>201</v>
      </c>
      <c r="D5" s="143" t="s">
        <v>202</v>
      </c>
      <c r="E5" s="143" t="s">
        <v>203</v>
      </c>
      <c r="F5" s="266" t="s">
        <v>3</v>
      </c>
      <c r="G5" s="143" t="s">
        <v>201</v>
      </c>
      <c r="H5" s="143" t="s">
        <v>202</v>
      </c>
      <c r="I5" s="143" t="s">
        <v>203</v>
      </c>
      <c r="J5" s="266" t="s">
        <v>3</v>
      </c>
      <c r="K5" s="143" t="s">
        <v>201</v>
      </c>
      <c r="L5" s="143" t="s">
        <v>202</v>
      </c>
      <c r="M5" s="143" t="s">
        <v>203</v>
      </c>
      <c r="N5" s="266" t="s">
        <v>3</v>
      </c>
      <c r="O5" s="143" t="s">
        <v>201</v>
      </c>
      <c r="P5" s="143" t="s">
        <v>202</v>
      </c>
      <c r="Q5" s="143" t="s">
        <v>203</v>
      </c>
      <c r="R5" s="266" t="s">
        <v>3</v>
      </c>
      <c r="S5" s="208"/>
      <c r="T5" s="143" t="s">
        <v>201</v>
      </c>
      <c r="U5" s="143" t="s">
        <v>202</v>
      </c>
      <c r="V5" s="143" t="s">
        <v>203</v>
      </c>
      <c r="W5" s="266" t="s">
        <v>3</v>
      </c>
      <c r="X5" s="105"/>
    </row>
    <row r="6" spans="1:24" ht="12.75">
      <c r="A6" s="54">
        <v>1</v>
      </c>
      <c r="B6" s="57" t="s">
        <v>7</v>
      </c>
      <c r="C6" s="57">
        <v>257</v>
      </c>
      <c r="D6" s="57">
        <v>63</v>
      </c>
      <c r="E6" s="57">
        <v>9</v>
      </c>
      <c r="F6" s="190">
        <f>C6+D6+E6</f>
        <v>329</v>
      </c>
      <c r="G6" s="57">
        <v>203</v>
      </c>
      <c r="H6" s="57">
        <v>95</v>
      </c>
      <c r="I6" s="57">
        <v>21</v>
      </c>
      <c r="J6" s="190">
        <f>G6+H6+I6</f>
        <v>319</v>
      </c>
      <c r="K6" s="57">
        <v>65</v>
      </c>
      <c r="L6" s="57">
        <v>45</v>
      </c>
      <c r="M6" s="57">
        <v>14</v>
      </c>
      <c r="N6" s="190">
        <f>K6+L6+M6</f>
        <v>124</v>
      </c>
      <c r="O6" s="57">
        <v>50</v>
      </c>
      <c r="P6" s="57">
        <v>69</v>
      </c>
      <c r="Q6" s="57">
        <v>14</v>
      </c>
      <c r="R6" s="190">
        <f aca="true" t="shared" si="0" ref="R6:R47">O6+P6+Q6</f>
        <v>133</v>
      </c>
      <c r="S6" s="19">
        <v>0</v>
      </c>
      <c r="T6" s="57">
        <v>0</v>
      </c>
      <c r="U6" s="57">
        <v>0</v>
      </c>
      <c r="V6" s="57">
        <v>0</v>
      </c>
      <c r="W6" s="190">
        <f aca="true" t="shared" si="1" ref="W6:W24">T6+U6+V6</f>
        <v>0</v>
      </c>
      <c r="X6" s="105"/>
    </row>
    <row r="7" spans="1:23" ht="12.75">
      <c r="A7" s="54">
        <v>2</v>
      </c>
      <c r="B7" s="57" t="s">
        <v>8</v>
      </c>
      <c r="C7" s="57">
        <v>0</v>
      </c>
      <c r="D7" s="57">
        <v>9</v>
      </c>
      <c r="E7" s="57">
        <v>0</v>
      </c>
      <c r="F7" s="190">
        <f aca="true" t="shared" si="2" ref="F7:F47">C7+D7+E7</f>
        <v>9</v>
      </c>
      <c r="G7" s="57">
        <v>5</v>
      </c>
      <c r="H7" s="57">
        <v>3</v>
      </c>
      <c r="I7" s="57">
        <v>0</v>
      </c>
      <c r="J7" s="190">
        <f aca="true" t="shared" si="3" ref="J7:J47">G7+H7+I7</f>
        <v>8</v>
      </c>
      <c r="K7" s="57">
        <v>0</v>
      </c>
      <c r="L7" s="57">
        <v>0</v>
      </c>
      <c r="M7" s="57">
        <v>0</v>
      </c>
      <c r="N7" s="190">
        <f aca="true" t="shared" si="4" ref="N7:N47">K7+L7+M7</f>
        <v>0</v>
      </c>
      <c r="O7" s="57">
        <v>0</v>
      </c>
      <c r="P7" s="57">
        <v>0</v>
      </c>
      <c r="Q7" s="57">
        <v>0</v>
      </c>
      <c r="R7" s="190">
        <f t="shared" si="0"/>
        <v>0</v>
      </c>
      <c r="S7" s="19">
        <v>0</v>
      </c>
      <c r="T7" s="57">
        <v>0</v>
      </c>
      <c r="U7" s="57">
        <v>3</v>
      </c>
      <c r="V7" s="57">
        <v>0</v>
      </c>
      <c r="W7" s="190">
        <f t="shared" si="1"/>
        <v>3</v>
      </c>
    </row>
    <row r="8" spans="1:24" ht="12" customHeight="1">
      <c r="A8" s="54">
        <v>3</v>
      </c>
      <c r="B8" s="57" t="s">
        <v>9</v>
      </c>
      <c r="C8" s="57">
        <v>37</v>
      </c>
      <c r="D8" s="57">
        <v>14</v>
      </c>
      <c r="E8" s="57">
        <v>8</v>
      </c>
      <c r="F8" s="190">
        <f t="shared" si="2"/>
        <v>59</v>
      </c>
      <c r="G8" s="57">
        <v>30</v>
      </c>
      <c r="H8" s="57">
        <v>41</v>
      </c>
      <c r="I8" s="57">
        <v>8</v>
      </c>
      <c r="J8" s="190">
        <f t="shared" si="3"/>
        <v>79</v>
      </c>
      <c r="K8" s="57">
        <v>6</v>
      </c>
      <c r="L8" s="57">
        <v>8</v>
      </c>
      <c r="M8" s="57">
        <v>1</v>
      </c>
      <c r="N8" s="190">
        <f t="shared" si="4"/>
        <v>15</v>
      </c>
      <c r="O8" s="57">
        <v>16</v>
      </c>
      <c r="P8" s="57">
        <v>4</v>
      </c>
      <c r="Q8" s="57">
        <v>1</v>
      </c>
      <c r="R8" s="190">
        <f t="shared" si="0"/>
        <v>21</v>
      </c>
      <c r="S8" s="19">
        <v>0</v>
      </c>
      <c r="T8" s="57">
        <v>0</v>
      </c>
      <c r="U8" s="57">
        <v>0</v>
      </c>
      <c r="V8" s="57">
        <v>0</v>
      </c>
      <c r="W8" s="190">
        <f t="shared" si="1"/>
        <v>0</v>
      </c>
      <c r="X8" s="19"/>
    </row>
    <row r="9" spans="1:24" ht="12.75">
      <c r="A9" s="54">
        <v>4</v>
      </c>
      <c r="B9" s="57" t="s">
        <v>10</v>
      </c>
      <c r="C9" s="57">
        <v>64</v>
      </c>
      <c r="D9" s="57">
        <v>179</v>
      </c>
      <c r="E9" s="57">
        <v>9</v>
      </c>
      <c r="F9" s="190">
        <f t="shared" si="2"/>
        <v>252</v>
      </c>
      <c r="G9" s="57">
        <v>289</v>
      </c>
      <c r="H9" s="57">
        <v>369</v>
      </c>
      <c r="I9" s="57">
        <v>67</v>
      </c>
      <c r="J9" s="190">
        <f t="shared" si="3"/>
        <v>725</v>
      </c>
      <c r="K9" s="57">
        <v>61</v>
      </c>
      <c r="L9" s="57">
        <v>76</v>
      </c>
      <c r="M9" s="57">
        <v>19</v>
      </c>
      <c r="N9" s="190">
        <f t="shared" si="4"/>
        <v>156</v>
      </c>
      <c r="O9" s="57">
        <v>49</v>
      </c>
      <c r="P9" s="57">
        <v>57</v>
      </c>
      <c r="Q9" s="57">
        <v>16</v>
      </c>
      <c r="R9" s="190">
        <f t="shared" si="0"/>
        <v>122</v>
      </c>
      <c r="S9" s="19"/>
      <c r="T9" s="57">
        <v>0</v>
      </c>
      <c r="U9" s="57">
        <v>0</v>
      </c>
      <c r="V9" s="57">
        <v>0</v>
      </c>
      <c r="W9" s="190">
        <f t="shared" si="1"/>
        <v>0</v>
      </c>
      <c r="X9" s="19"/>
    </row>
    <row r="10" spans="1:24" ht="12.75">
      <c r="A10" s="54">
        <v>5</v>
      </c>
      <c r="B10" s="57" t="s">
        <v>11</v>
      </c>
      <c r="C10" s="57">
        <v>63</v>
      </c>
      <c r="D10" s="57">
        <v>64</v>
      </c>
      <c r="E10" s="57">
        <v>3</v>
      </c>
      <c r="F10" s="190">
        <f t="shared" si="2"/>
        <v>130</v>
      </c>
      <c r="G10" s="57">
        <v>42</v>
      </c>
      <c r="H10" s="57">
        <v>80</v>
      </c>
      <c r="I10" s="57">
        <v>31</v>
      </c>
      <c r="J10" s="190">
        <f t="shared" si="3"/>
        <v>153</v>
      </c>
      <c r="K10" s="57">
        <v>10</v>
      </c>
      <c r="L10" s="57">
        <v>6</v>
      </c>
      <c r="M10" s="57">
        <v>1</v>
      </c>
      <c r="N10" s="190">
        <f t="shared" si="4"/>
        <v>17</v>
      </c>
      <c r="O10" s="57">
        <v>116</v>
      </c>
      <c r="P10" s="57">
        <v>15</v>
      </c>
      <c r="Q10" s="57">
        <v>20</v>
      </c>
      <c r="R10" s="190">
        <f t="shared" si="0"/>
        <v>151</v>
      </c>
      <c r="S10" s="19"/>
      <c r="T10" s="57">
        <v>0</v>
      </c>
      <c r="U10" s="57">
        <v>0</v>
      </c>
      <c r="V10" s="57">
        <v>0</v>
      </c>
      <c r="W10" s="190">
        <f t="shared" si="1"/>
        <v>0</v>
      </c>
      <c r="X10" s="19"/>
    </row>
    <row r="11" spans="1:24" ht="12.75">
      <c r="A11" s="54">
        <v>6</v>
      </c>
      <c r="B11" s="57" t="s">
        <v>12</v>
      </c>
      <c r="C11" s="57">
        <v>0</v>
      </c>
      <c r="D11" s="57">
        <v>10</v>
      </c>
      <c r="E11" s="57">
        <v>0</v>
      </c>
      <c r="F11" s="190">
        <f t="shared" si="2"/>
        <v>10</v>
      </c>
      <c r="G11" s="57">
        <v>42</v>
      </c>
      <c r="H11" s="57">
        <v>21</v>
      </c>
      <c r="I11" s="57">
        <v>6</v>
      </c>
      <c r="J11" s="190">
        <f t="shared" si="3"/>
        <v>69</v>
      </c>
      <c r="K11" s="57">
        <v>3</v>
      </c>
      <c r="L11" s="57">
        <v>2</v>
      </c>
      <c r="M11" s="57">
        <v>2</v>
      </c>
      <c r="N11" s="190">
        <f t="shared" si="4"/>
        <v>7</v>
      </c>
      <c r="O11" s="57">
        <v>4</v>
      </c>
      <c r="P11" s="57">
        <v>2</v>
      </c>
      <c r="Q11" s="57">
        <v>2</v>
      </c>
      <c r="R11" s="190">
        <f t="shared" si="0"/>
        <v>8</v>
      </c>
      <c r="S11" s="19"/>
      <c r="T11" s="57">
        <v>0</v>
      </c>
      <c r="U11" s="57">
        <v>0</v>
      </c>
      <c r="V11" s="57">
        <v>0</v>
      </c>
      <c r="W11" s="190">
        <f t="shared" si="1"/>
        <v>0</v>
      </c>
      <c r="X11" s="19"/>
    </row>
    <row r="12" spans="1:24" ht="12.75">
      <c r="A12" s="54">
        <v>7</v>
      </c>
      <c r="B12" s="57" t="s">
        <v>13</v>
      </c>
      <c r="C12" s="57">
        <v>80</v>
      </c>
      <c r="D12" s="57">
        <v>98</v>
      </c>
      <c r="E12" s="57">
        <v>11</v>
      </c>
      <c r="F12" s="190">
        <f t="shared" si="2"/>
        <v>189</v>
      </c>
      <c r="G12" s="57">
        <v>230</v>
      </c>
      <c r="H12" s="57">
        <v>352</v>
      </c>
      <c r="I12" s="57">
        <v>43</v>
      </c>
      <c r="J12" s="190">
        <f t="shared" si="3"/>
        <v>625</v>
      </c>
      <c r="K12" s="57">
        <v>40</v>
      </c>
      <c r="L12" s="57">
        <v>73</v>
      </c>
      <c r="M12" s="57">
        <v>16</v>
      </c>
      <c r="N12" s="190">
        <f t="shared" si="4"/>
        <v>129</v>
      </c>
      <c r="O12" s="57">
        <v>62</v>
      </c>
      <c r="P12" s="57">
        <v>153</v>
      </c>
      <c r="Q12" s="57">
        <v>35</v>
      </c>
      <c r="R12" s="190">
        <f t="shared" si="0"/>
        <v>250</v>
      </c>
      <c r="S12" s="19"/>
      <c r="T12" s="57">
        <v>0</v>
      </c>
      <c r="U12" s="57">
        <v>0</v>
      </c>
      <c r="V12" s="57">
        <v>0</v>
      </c>
      <c r="W12" s="190">
        <f t="shared" si="1"/>
        <v>0</v>
      </c>
      <c r="X12" s="19"/>
    </row>
    <row r="13" spans="1:24" s="237" customFormat="1" ht="12.75">
      <c r="A13" s="54">
        <v>8</v>
      </c>
      <c r="B13" s="57" t="s">
        <v>162</v>
      </c>
      <c r="C13" s="57">
        <v>0</v>
      </c>
      <c r="D13" s="57">
        <v>0</v>
      </c>
      <c r="E13" s="57">
        <v>0</v>
      </c>
      <c r="F13" s="190">
        <f t="shared" si="2"/>
        <v>0</v>
      </c>
      <c r="G13" s="57">
        <v>5</v>
      </c>
      <c r="H13" s="57">
        <v>6</v>
      </c>
      <c r="I13" s="57">
        <v>13</v>
      </c>
      <c r="J13" s="190">
        <f t="shared" si="3"/>
        <v>24</v>
      </c>
      <c r="K13" s="57">
        <v>0</v>
      </c>
      <c r="L13" s="57">
        <v>0</v>
      </c>
      <c r="M13" s="57">
        <v>0</v>
      </c>
      <c r="N13" s="190">
        <f t="shared" si="4"/>
        <v>0</v>
      </c>
      <c r="O13" s="57">
        <v>0</v>
      </c>
      <c r="P13" s="57">
        <v>0</v>
      </c>
      <c r="Q13" s="57">
        <v>0</v>
      </c>
      <c r="R13" s="190">
        <f t="shared" si="0"/>
        <v>0</v>
      </c>
      <c r="S13" s="552">
        <v>0</v>
      </c>
      <c r="T13" s="57">
        <v>0</v>
      </c>
      <c r="U13" s="57">
        <v>0</v>
      </c>
      <c r="V13" s="57">
        <v>0</v>
      </c>
      <c r="W13" s="190">
        <f t="shared" si="1"/>
        <v>0</v>
      </c>
      <c r="X13" s="552"/>
    </row>
    <row r="14" spans="1:24" ht="12.75">
      <c r="A14" s="54">
        <v>9</v>
      </c>
      <c r="B14" s="57" t="s">
        <v>14</v>
      </c>
      <c r="C14" s="57">
        <v>10</v>
      </c>
      <c r="D14" s="57">
        <v>42</v>
      </c>
      <c r="E14" s="57">
        <v>3</v>
      </c>
      <c r="F14" s="190">
        <f t="shared" si="2"/>
        <v>55</v>
      </c>
      <c r="G14" s="57">
        <v>29</v>
      </c>
      <c r="H14" s="57">
        <v>65</v>
      </c>
      <c r="I14" s="57">
        <v>39</v>
      </c>
      <c r="J14" s="190">
        <f t="shared" si="3"/>
        <v>133</v>
      </c>
      <c r="K14" s="57">
        <v>1</v>
      </c>
      <c r="L14" s="57">
        <v>4</v>
      </c>
      <c r="M14" s="57">
        <v>4</v>
      </c>
      <c r="N14" s="190">
        <f t="shared" si="4"/>
        <v>9</v>
      </c>
      <c r="O14" s="57">
        <v>3</v>
      </c>
      <c r="P14" s="57">
        <v>12</v>
      </c>
      <c r="Q14" s="57">
        <v>9</v>
      </c>
      <c r="R14" s="190">
        <f t="shared" si="0"/>
        <v>24</v>
      </c>
      <c r="S14" s="19">
        <v>0</v>
      </c>
      <c r="T14" s="57">
        <v>0</v>
      </c>
      <c r="U14" s="57">
        <v>0</v>
      </c>
      <c r="V14" s="57">
        <v>0</v>
      </c>
      <c r="W14" s="190">
        <f t="shared" si="1"/>
        <v>0</v>
      </c>
      <c r="X14" s="19"/>
    </row>
    <row r="15" spans="1:24" ht="12.75">
      <c r="A15" s="54">
        <v>10</v>
      </c>
      <c r="B15" s="57" t="s">
        <v>15</v>
      </c>
      <c r="C15" s="57">
        <v>0</v>
      </c>
      <c r="D15" s="57">
        <v>0</v>
      </c>
      <c r="E15" s="57">
        <v>0</v>
      </c>
      <c r="F15" s="190">
        <f t="shared" si="2"/>
        <v>0</v>
      </c>
      <c r="G15" s="57">
        <v>5</v>
      </c>
      <c r="H15" s="57">
        <v>11</v>
      </c>
      <c r="I15" s="57">
        <v>2</v>
      </c>
      <c r="J15" s="190">
        <f t="shared" si="3"/>
        <v>18</v>
      </c>
      <c r="K15" s="57">
        <v>0</v>
      </c>
      <c r="L15" s="57">
        <v>1</v>
      </c>
      <c r="M15" s="57">
        <v>0</v>
      </c>
      <c r="N15" s="190">
        <f t="shared" si="4"/>
        <v>1</v>
      </c>
      <c r="O15" s="57">
        <v>1</v>
      </c>
      <c r="P15" s="57">
        <v>1</v>
      </c>
      <c r="Q15" s="57">
        <v>0</v>
      </c>
      <c r="R15" s="190">
        <f t="shared" si="0"/>
        <v>2</v>
      </c>
      <c r="S15" s="19"/>
      <c r="T15" s="57">
        <v>0</v>
      </c>
      <c r="U15" s="57">
        <v>0</v>
      </c>
      <c r="V15" s="57">
        <v>0</v>
      </c>
      <c r="W15" s="190">
        <f t="shared" si="1"/>
        <v>0</v>
      </c>
      <c r="X15" s="19"/>
    </row>
    <row r="16" spans="1:24" ht="12.75">
      <c r="A16" s="54">
        <v>11</v>
      </c>
      <c r="B16" s="57" t="s">
        <v>16</v>
      </c>
      <c r="C16" s="57">
        <v>0</v>
      </c>
      <c r="D16" s="57">
        <v>0</v>
      </c>
      <c r="E16" s="57">
        <v>0</v>
      </c>
      <c r="F16" s="190">
        <f t="shared" si="2"/>
        <v>0</v>
      </c>
      <c r="G16" s="57">
        <v>11</v>
      </c>
      <c r="H16" s="57">
        <v>13</v>
      </c>
      <c r="I16" s="57">
        <v>4</v>
      </c>
      <c r="J16" s="190">
        <f t="shared" si="3"/>
        <v>28</v>
      </c>
      <c r="K16" s="57">
        <v>2</v>
      </c>
      <c r="L16" s="57">
        <v>3</v>
      </c>
      <c r="M16" s="57">
        <v>2</v>
      </c>
      <c r="N16" s="190">
        <f t="shared" si="4"/>
        <v>7</v>
      </c>
      <c r="O16" s="57">
        <v>0</v>
      </c>
      <c r="P16" s="57">
        <v>0</v>
      </c>
      <c r="Q16" s="57">
        <v>0</v>
      </c>
      <c r="R16" s="190">
        <f t="shared" si="0"/>
        <v>0</v>
      </c>
      <c r="S16" s="19">
        <v>0</v>
      </c>
      <c r="T16" s="57">
        <v>0</v>
      </c>
      <c r="U16" s="57">
        <v>0</v>
      </c>
      <c r="V16" s="57">
        <v>0</v>
      </c>
      <c r="W16" s="190">
        <f t="shared" si="1"/>
        <v>0</v>
      </c>
      <c r="X16" s="19"/>
    </row>
    <row r="17" spans="1:24" ht="12.75">
      <c r="A17" s="54">
        <v>12</v>
      </c>
      <c r="B17" s="57" t="s">
        <v>17</v>
      </c>
      <c r="C17" s="57">
        <v>0</v>
      </c>
      <c r="D17" s="57">
        <v>0</v>
      </c>
      <c r="E17" s="57">
        <v>0</v>
      </c>
      <c r="F17" s="190">
        <f t="shared" si="2"/>
        <v>0</v>
      </c>
      <c r="G17" s="57">
        <v>40</v>
      </c>
      <c r="H17" s="57">
        <v>106</v>
      </c>
      <c r="I17" s="57">
        <v>45</v>
      </c>
      <c r="J17" s="190">
        <f t="shared" si="3"/>
        <v>191</v>
      </c>
      <c r="K17" s="57">
        <v>1</v>
      </c>
      <c r="L17" s="57">
        <v>10</v>
      </c>
      <c r="M17" s="57">
        <v>5</v>
      </c>
      <c r="N17" s="190">
        <f t="shared" si="4"/>
        <v>16</v>
      </c>
      <c r="O17" s="57">
        <v>20</v>
      </c>
      <c r="P17" s="57">
        <v>28</v>
      </c>
      <c r="Q17" s="57">
        <v>10</v>
      </c>
      <c r="R17" s="190">
        <f t="shared" si="0"/>
        <v>58</v>
      </c>
      <c r="S17" s="19"/>
      <c r="T17" s="57">
        <v>8</v>
      </c>
      <c r="U17" s="57">
        <v>15</v>
      </c>
      <c r="V17" s="57">
        <v>11</v>
      </c>
      <c r="W17" s="190">
        <f t="shared" si="1"/>
        <v>34</v>
      </c>
      <c r="X17" s="19"/>
    </row>
    <row r="18" spans="1:24" ht="12.75">
      <c r="A18" s="54">
        <v>13</v>
      </c>
      <c r="B18" s="57" t="s">
        <v>164</v>
      </c>
      <c r="C18" s="57">
        <v>0</v>
      </c>
      <c r="D18" s="57">
        <v>10</v>
      </c>
      <c r="E18" s="57">
        <v>0</v>
      </c>
      <c r="F18" s="190">
        <f t="shared" si="2"/>
        <v>10</v>
      </c>
      <c r="G18" s="57">
        <v>8</v>
      </c>
      <c r="H18" s="57">
        <v>20</v>
      </c>
      <c r="I18" s="57">
        <v>0</v>
      </c>
      <c r="J18" s="190">
        <f t="shared" si="3"/>
        <v>28</v>
      </c>
      <c r="K18" s="57">
        <v>0</v>
      </c>
      <c r="L18" s="57">
        <v>1</v>
      </c>
      <c r="M18" s="57">
        <v>0</v>
      </c>
      <c r="N18" s="190">
        <f t="shared" si="4"/>
        <v>1</v>
      </c>
      <c r="O18" s="57">
        <v>5</v>
      </c>
      <c r="P18" s="57">
        <v>4</v>
      </c>
      <c r="Q18" s="57">
        <v>0</v>
      </c>
      <c r="R18" s="190">
        <f t="shared" si="0"/>
        <v>9</v>
      </c>
      <c r="S18" s="19"/>
      <c r="T18" s="57">
        <v>0</v>
      </c>
      <c r="U18" s="57">
        <v>0</v>
      </c>
      <c r="V18" s="57">
        <v>0</v>
      </c>
      <c r="W18" s="190">
        <f t="shared" si="1"/>
        <v>0</v>
      </c>
      <c r="X18" s="19"/>
    </row>
    <row r="19" spans="1:24" ht="12.75">
      <c r="A19" s="54">
        <v>14</v>
      </c>
      <c r="B19" s="57" t="s">
        <v>77</v>
      </c>
      <c r="C19" s="57">
        <v>10</v>
      </c>
      <c r="D19" s="57">
        <v>37</v>
      </c>
      <c r="E19" s="57">
        <v>34</v>
      </c>
      <c r="F19" s="190">
        <f t="shared" si="2"/>
        <v>81</v>
      </c>
      <c r="G19" s="57">
        <v>101</v>
      </c>
      <c r="H19" s="57">
        <v>239</v>
      </c>
      <c r="I19" s="57">
        <v>286</v>
      </c>
      <c r="J19" s="190">
        <f t="shared" si="3"/>
        <v>626</v>
      </c>
      <c r="K19" s="57">
        <v>4</v>
      </c>
      <c r="L19" s="57">
        <v>12</v>
      </c>
      <c r="M19" s="57">
        <v>15</v>
      </c>
      <c r="N19" s="190">
        <f t="shared" si="4"/>
        <v>31</v>
      </c>
      <c r="O19" s="57">
        <v>25</v>
      </c>
      <c r="P19" s="57">
        <v>32</v>
      </c>
      <c r="Q19" s="57">
        <v>34</v>
      </c>
      <c r="R19" s="190">
        <f t="shared" si="0"/>
        <v>91</v>
      </c>
      <c r="S19" s="19"/>
      <c r="T19" s="57">
        <v>0</v>
      </c>
      <c r="U19" s="57">
        <v>0</v>
      </c>
      <c r="V19" s="57">
        <v>0</v>
      </c>
      <c r="W19" s="190">
        <f t="shared" si="1"/>
        <v>0</v>
      </c>
      <c r="X19" s="19"/>
    </row>
    <row r="20" spans="1:24" ht="12.75">
      <c r="A20" s="54">
        <v>15</v>
      </c>
      <c r="B20" s="57" t="s">
        <v>105</v>
      </c>
      <c r="C20" s="57">
        <v>0</v>
      </c>
      <c r="D20" s="57">
        <v>0</v>
      </c>
      <c r="E20" s="57">
        <v>0</v>
      </c>
      <c r="F20" s="190">
        <f t="shared" si="2"/>
        <v>0</v>
      </c>
      <c r="G20" s="57">
        <v>3</v>
      </c>
      <c r="H20" s="57">
        <v>13</v>
      </c>
      <c r="I20" s="57">
        <v>13</v>
      </c>
      <c r="J20" s="190">
        <f t="shared" si="3"/>
        <v>29</v>
      </c>
      <c r="K20" s="57">
        <v>0</v>
      </c>
      <c r="L20" s="57">
        <v>0</v>
      </c>
      <c r="M20" s="57">
        <v>0</v>
      </c>
      <c r="N20" s="190">
        <f t="shared" si="4"/>
        <v>0</v>
      </c>
      <c r="O20" s="57">
        <v>0</v>
      </c>
      <c r="P20" s="57">
        <v>0</v>
      </c>
      <c r="Q20" s="57">
        <v>0</v>
      </c>
      <c r="R20" s="190">
        <f t="shared" si="0"/>
        <v>0</v>
      </c>
      <c r="S20" s="19">
        <v>0</v>
      </c>
      <c r="T20" s="57">
        <v>0</v>
      </c>
      <c r="U20" s="57">
        <v>0</v>
      </c>
      <c r="V20" s="57">
        <v>0</v>
      </c>
      <c r="W20" s="190">
        <f t="shared" si="1"/>
        <v>0</v>
      </c>
      <c r="X20" s="19"/>
    </row>
    <row r="21" spans="1:24" s="237" customFormat="1" ht="12.75">
      <c r="A21" s="54">
        <v>16</v>
      </c>
      <c r="B21" s="57" t="s">
        <v>20</v>
      </c>
      <c r="C21" s="57">
        <v>37</v>
      </c>
      <c r="D21" s="57">
        <v>36</v>
      </c>
      <c r="E21" s="57">
        <v>2</v>
      </c>
      <c r="F21" s="190">
        <f t="shared" si="2"/>
        <v>75</v>
      </c>
      <c r="G21" s="57">
        <v>43</v>
      </c>
      <c r="H21" s="57">
        <v>73</v>
      </c>
      <c r="I21" s="57">
        <v>8</v>
      </c>
      <c r="J21" s="190">
        <f t="shared" si="3"/>
        <v>124</v>
      </c>
      <c r="K21" s="57">
        <v>22</v>
      </c>
      <c r="L21" s="57">
        <v>26</v>
      </c>
      <c r="M21" s="57">
        <v>5</v>
      </c>
      <c r="N21" s="190">
        <f t="shared" si="4"/>
        <v>53</v>
      </c>
      <c r="O21" s="57">
        <v>66</v>
      </c>
      <c r="P21" s="57">
        <v>85</v>
      </c>
      <c r="Q21" s="57">
        <v>10</v>
      </c>
      <c r="R21" s="190">
        <f t="shared" si="0"/>
        <v>161</v>
      </c>
      <c r="S21" s="552">
        <v>0</v>
      </c>
      <c r="T21" s="57">
        <v>0</v>
      </c>
      <c r="U21" s="57">
        <v>0</v>
      </c>
      <c r="V21" s="57">
        <v>0</v>
      </c>
      <c r="W21" s="190">
        <f t="shared" si="1"/>
        <v>0</v>
      </c>
      <c r="X21" s="552"/>
    </row>
    <row r="22" spans="1:24" ht="12.75">
      <c r="A22" s="54">
        <v>17</v>
      </c>
      <c r="B22" s="57" t="s">
        <v>21</v>
      </c>
      <c r="C22" s="57">
        <v>116</v>
      </c>
      <c r="D22" s="57">
        <v>64</v>
      </c>
      <c r="E22" s="57">
        <v>7</v>
      </c>
      <c r="F22" s="190">
        <f t="shared" si="2"/>
        <v>187</v>
      </c>
      <c r="G22" s="57">
        <v>155</v>
      </c>
      <c r="H22" s="57">
        <v>141</v>
      </c>
      <c r="I22" s="57">
        <v>163</v>
      </c>
      <c r="J22" s="190">
        <f t="shared" si="3"/>
        <v>459</v>
      </c>
      <c r="K22" s="57">
        <v>33</v>
      </c>
      <c r="L22" s="57">
        <v>26</v>
      </c>
      <c r="M22" s="57">
        <v>26</v>
      </c>
      <c r="N22" s="190">
        <f t="shared" si="4"/>
        <v>85</v>
      </c>
      <c r="O22" s="57">
        <v>9</v>
      </c>
      <c r="P22" s="57">
        <v>11</v>
      </c>
      <c r="Q22" s="57">
        <v>15</v>
      </c>
      <c r="R22" s="190">
        <f t="shared" si="0"/>
        <v>35</v>
      </c>
      <c r="S22" s="19">
        <v>0</v>
      </c>
      <c r="T22" s="57">
        <v>0</v>
      </c>
      <c r="U22" s="57">
        <v>0</v>
      </c>
      <c r="V22" s="57">
        <v>0</v>
      </c>
      <c r="W22" s="190">
        <f t="shared" si="1"/>
        <v>0</v>
      </c>
      <c r="X22" s="19"/>
    </row>
    <row r="23" spans="1:24" ht="12.75">
      <c r="A23" s="54">
        <v>18</v>
      </c>
      <c r="B23" s="57" t="s">
        <v>19</v>
      </c>
      <c r="C23" s="57">
        <v>17</v>
      </c>
      <c r="D23" s="57">
        <v>0</v>
      </c>
      <c r="E23" s="57">
        <v>0</v>
      </c>
      <c r="F23" s="190">
        <f t="shared" si="2"/>
        <v>17</v>
      </c>
      <c r="G23" s="57">
        <v>0</v>
      </c>
      <c r="H23" s="57">
        <v>0</v>
      </c>
      <c r="I23" s="57">
        <v>1</v>
      </c>
      <c r="J23" s="190">
        <f t="shared" si="3"/>
        <v>1</v>
      </c>
      <c r="K23" s="57">
        <v>0</v>
      </c>
      <c r="L23" s="57">
        <v>0</v>
      </c>
      <c r="M23" s="57">
        <v>0</v>
      </c>
      <c r="N23" s="190">
        <f t="shared" si="4"/>
        <v>0</v>
      </c>
      <c r="O23" s="57">
        <v>0</v>
      </c>
      <c r="P23" s="57">
        <v>0</v>
      </c>
      <c r="Q23" s="57">
        <v>0</v>
      </c>
      <c r="R23" s="190">
        <f t="shared" si="0"/>
        <v>0</v>
      </c>
      <c r="S23" s="19"/>
      <c r="T23" s="57">
        <v>0</v>
      </c>
      <c r="U23" s="57">
        <v>0</v>
      </c>
      <c r="V23" s="57">
        <v>0</v>
      </c>
      <c r="W23" s="190">
        <f t="shared" si="1"/>
        <v>0</v>
      </c>
      <c r="X23" s="19"/>
    </row>
    <row r="24" spans="1:24" ht="12.75">
      <c r="A24" s="54">
        <v>19</v>
      </c>
      <c r="B24" s="57" t="s">
        <v>124</v>
      </c>
      <c r="C24" s="57">
        <v>4</v>
      </c>
      <c r="D24" s="57">
        <v>17</v>
      </c>
      <c r="E24" s="57">
        <v>5</v>
      </c>
      <c r="F24" s="190">
        <f t="shared" si="2"/>
        <v>26</v>
      </c>
      <c r="G24" s="57">
        <v>1</v>
      </c>
      <c r="H24" s="57">
        <v>0</v>
      </c>
      <c r="I24" s="57">
        <v>5</v>
      </c>
      <c r="J24" s="190">
        <f t="shared" si="3"/>
        <v>6</v>
      </c>
      <c r="K24" s="57">
        <v>1</v>
      </c>
      <c r="L24" s="57">
        <v>3</v>
      </c>
      <c r="M24" s="57">
        <v>1</v>
      </c>
      <c r="N24" s="190">
        <f t="shared" si="4"/>
        <v>5</v>
      </c>
      <c r="O24" s="57">
        <v>1</v>
      </c>
      <c r="P24" s="57">
        <v>3</v>
      </c>
      <c r="Q24" s="57">
        <v>1</v>
      </c>
      <c r="R24" s="190">
        <f t="shared" si="0"/>
        <v>5</v>
      </c>
      <c r="S24" s="19">
        <v>0</v>
      </c>
      <c r="T24" s="57">
        <v>0</v>
      </c>
      <c r="U24" s="57">
        <v>0</v>
      </c>
      <c r="V24" s="57">
        <v>0</v>
      </c>
      <c r="W24" s="190">
        <f t="shared" si="1"/>
        <v>0</v>
      </c>
      <c r="X24" s="19"/>
    </row>
    <row r="25" spans="1:24" s="232" customFormat="1" ht="14.25">
      <c r="A25" s="203"/>
      <c r="B25" s="164" t="s">
        <v>224</v>
      </c>
      <c r="C25" s="164">
        <f aca="true" t="shared" si="5" ref="C25:Q25">SUM(C6:C24)</f>
        <v>695</v>
      </c>
      <c r="D25" s="164">
        <f t="shared" si="5"/>
        <v>643</v>
      </c>
      <c r="E25" s="164">
        <f t="shared" si="5"/>
        <v>91</v>
      </c>
      <c r="F25" s="197">
        <f t="shared" si="2"/>
        <v>1429</v>
      </c>
      <c r="G25" s="164">
        <f t="shared" si="5"/>
        <v>1242</v>
      </c>
      <c r="H25" s="164">
        <f t="shared" si="5"/>
        <v>1648</v>
      </c>
      <c r="I25" s="164">
        <f t="shared" si="5"/>
        <v>755</v>
      </c>
      <c r="J25" s="197">
        <f t="shared" si="3"/>
        <v>3645</v>
      </c>
      <c r="K25" s="164">
        <f t="shared" si="5"/>
        <v>249</v>
      </c>
      <c r="L25" s="164">
        <f t="shared" si="5"/>
        <v>296</v>
      </c>
      <c r="M25" s="164">
        <f t="shared" si="5"/>
        <v>111</v>
      </c>
      <c r="N25" s="197">
        <f t="shared" si="4"/>
        <v>656</v>
      </c>
      <c r="O25" s="164">
        <f t="shared" si="5"/>
        <v>427</v>
      </c>
      <c r="P25" s="164">
        <f t="shared" si="5"/>
        <v>476</v>
      </c>
      <c r="Q25" s="164">
        <f t="shared" si="5"/>
        <v>167</v>
      </c>
      <c r="R25" s="197">
        <f>O25+P25+Q25</f>
        <v>1070</v>
      </c>
      <c r="S25" s="209"/>
      <c r="T25" s="164">
        <f>SUM(T6:T24)</f>
        <v>8</v>
      </c>
      <c r="U25" s="164">
        <f>SUM(U6:U24)</f>
        <v>18</v>
      </c>
      <c r="V25" s="164">
        <f>SUM(V6:V24)</f>
        <v>11</v>
      </c>
      <c r="W25" s="197">
        <f>T25+U25+V25</f>
        <v>37</v>
      </c>
      <c r="X25" s="209"/>
    </row>
    <row r="26" spans="1:24" ht="12.75">
      <c r="A26" s="54">
        <v>20</v>
      </c>
      <c r="B26" s="57" t="s">
        <v>23</v>
      </c>
      <c r="C26" s="57">
        <v>0</v>
      </c>
      <c r="D26" s="57">
        <v>0</v>
      </c>
      <c r="E26" s="57">
        <v>0</v>
      </c>
      <c r="F26" s="190">
        <f t="shared" si="2"/>
        <v>0</v>
      </c>
      <c r="G26" s="57">
        <v>2</v>
      </c>
      <c r="H26" s="57">
        <v>0</v>
      </c>
      <c r="I26" s="57">
        <v>1</v>
      </c>
      <c r="J26" s="190">
        <f t="shared" si="3"/>
        <v>3</v>
      </c>
      <c r="K26" s="57">
        <v>0</v>
      </c>
      <c r="L26" s="57">
        <v>0</v>
      </c>
      <c r="M26" s="57">
        <v>0</v>
      </c>
      <c r="N26" s="190">
        <f t="shared" si="4"/>
        <v>0</v>
      </c>
      <c r="O26" s="57">
        <v>0</v>
      </c>
      <c r="P26" s="57">
        <v>0</v>
      </c>
      <c r="Q26" s="57">
        <v>0</v>
      </c>
      <c r="R26" s="190">
        <f t="shared" si="0"/>
        <v>0</v>
      </c>
      <c r="S26" s="19"/>
      <c r="T26" s="57">
        <v>0</v>
      </c>
      <c r="U26" s="57">
        <v>0</v>
      </c>
      <c r="V26" s="57">
        <v>0</v>
      </c>
      <c r="W26" s="190">
        <f aca="true" t="shared" si="6" ref="W26:W32">T26+U26+V26</f>
        <v>0</v>
      </c>
      <c r="X26" s="19"/>
    </row>
    <row r="27" spans="1:24" ht="12.75">
      <c r="A27" s="54">
        <v>21</v>
      </c>
      <c r="B27" s="57" t="s">
        <v>269</v>
      </c>
      <c r="C27" s="57">
        <v>0</v>
      </c>
      <c r="D27" s="57">
        <v>0</v>
      </c>
      <c r="E27" s="57">
        <v>0</v>
      </c>
      <c r="F27" s="190">
        <f t="shared" si="2"/>
        <v>0</v>
      </c>
      <c r="G27" s="57">
        <v>0</v>
      </c>
      <c r="H27" s="57">
        <v>0</v>
      </c>
      <c r="I27" s="57">
        <v>0</v>
      </c>
      <c r="J27" s="190">
        <f t="shared" si="3"/>
        <v>0</v>
      </c>
      <c r="K27" s="57">
        <v>0</v>
      </c>
      <c r="L27" s="57">
        <v>0</v>
      </c>
      <c r="M27" s="57">
        <v>0</v>
      </c>
      <c r="N27" s="190">
        <f t="shared" si="4"/>
        <v>0</v>
      </c>
      <c r="O27" s="57">
        <v>0</v>
      </c>
      <c r="P27" s="57">
        <v>0</v>
      </c>
      <c r="Q27" s="57">
        <v>0</v>
      </c>
      <c r="R27" s="190">
        <f t="shared" si="0"/>
        <v>0</v>
      </c>
      <c r="S27" s="19"/>
      <c r="T27" s="57">
        <v>0</v>
      </c>
      <c r="U27" s="57">
        <v>0</v>
      </c>
      <c r="V27" s="57">
        <v>0</v>
      </c>
      <c r="W27" s="190">
        <f t="shared" si="6"/>
        <v>0</v>
      </c>
      <c r="X27" s="19"/>
    </row>
    <row r="28" spans="1:24" ht="12.75">
      <c r="A28" s="54">
        <v>22</v>
      </c>
      <c r="B28" s="57" t="s">
        <v>169</v>
      </c>
      <c r="C28" s="57">
        <v>10</v>
      </c>
      <c r="D28" s="57">
        <v>0</v>
      </c>
      <c r="E28" s="57">
        <v>0</v>
      </c>
      <c r="F28" s="190">
        <f t="shared" si="2"/>
        <v>10</v>
      </c>
      <c r="G28" s="57">
        <v>0</v>
      </c>
      <c r="H28" s="57">
        <v>0</v>
      </c>
      <c r="I28" s="57">
        <v>0</v>
      </c>
      <c r="J28" s="190">
        <f t="shared" si="3"/>
        <v>0</v>
      </c>
      <c r="K28" s="57">
        <v>0</v>
      </c>
      <c r="L28" s="57">
        <v>0</v>
      </c>
      <c r="M28" s="57">
        <v>0</v>
      </c>
      <c r="N28" s="190">
        <f t="shared" si="4"/>
        <v>0</v>
      </c>
      <c r="O28" s="57">
        <v>0</v>
      </c>
      <c r="P28" s="57">
        <v>0</v>
      </c>
      <c r="Q28" s="57">
        <v>0</v>
      </c>
      <c r="R28" s="190">
        <f t="shared" si="0"/>
        <v>0</v>
      </c>
      <c r="S28" s="19"/>
      <c r="T28" s="57">
        <v>0</v>
      </c>
      <c r="U28" s="57">
        <v>0</v>
      </c>
      <c r="V28" s="57">
        <v>0</v>
      </c>
      <c r="W28" s="190">
        <f t="shared" si="6"/>
        <v>0</v>
      </c>
      <c r="X28" s="19"/>
    </row>
    <row r="29" spans="1:24" ht="12.75">
      <c r="A29" s="54">
        <v>23</v>
      </c>
      <c r="B29" s="57" t="s">
        <v>22</v>
      </c>
      <c r="C29" s="57">
        <v>0</v>
      </c>
      <c r="D29" s="57">
        <v>0</v>
      </c>
      <c r="E29" s="57">
        <v>0</v>
      </c>
      <c r="F29" s="190">
        <f t="shared" si="2"/>
        <v>0</v>
      </c>
      <c r="G29" s="57">
        <v>1</v>
      </c>
      <c r="H29" s="57">
        <v>15</v>
      </c>
      <c r="I29" s="57">
        <v>0</v>
      </c>
      <c r="J29" s="190">
        <f t="shared" si="3"/>
        <v>16</v>
      </c>
      <c r="K29" s="57">
        <v>0</v>
      </c>
      <c r="L29" s="57">
        <v>3</v>
      </c>
      <c r="M29" s="57">
        <v>0</v>
      </c>
      <c r="N29" s="190">
        <f t="shared" si="4"/>
        <v>3</v>
      </c>
      <c r="O29" s="57">
        <v>0</v>
      </c>
      <c r="P29" s="57">
        <v>13</v>
      </c>
      <c r="Q29" s="57">
        <v>0</v>
      </c>
      <c r="R29" s="190">
        <f t="shared" si="0"/>
        <v>13</v>
      </c>
      <c r="S29" s="19"/>
      <c r="T29" s="57">
        <v>0</v>
      </c>
      <c r="U29" s="57">
        <v>13</v>
      </c>
      <c r="V29" s="57">
        <v>0</v>
      </c>
      <c r="W29" s="190">
        <f t="shared" si="6"/>
        <v>13</v>
      </c>
      <c r="X29" s="19"/>
    </row>
    <row r="30" spans="1:24" ht="12.75">
      <c r="A30" s="54">
        <v>24</v>
      </c>
      <c r="B30" s="57" t="s">
        <v>141</v>
      </c>
      <c r="C30" s="57">
        <v>0</v>
      </c>
      <c r="D30" s="57">
        <v>0</v>
      </c>
      <c r="E30" s="57">
        <v>0</v>
      </c>
      <c r="F30" s="190">
        <f t="shared" si="2"/>
        <v>0</v>
      </c>
      <c r="G30" s="57">
        <v>5</v>
      </c>
      <c r="H30" s="57">
        <v>0</v>
      </c>
      <c r="I30" s="57">
        <v>1</v>
      </c>
      <c r="J30" s="190">
        <f t="shared" si="3"/>
        <v>6</v>
      </c>
      <c r="K30" s="57">
        <v>1</v>
      </c>
      <c r="L30" s="57">
        <v>0</v>
      </c>
      <c r="M30" s="57">
        <v>0</v>
      </c>
      <c r="N30" s="190">
        <f t="shared" si="4"/>
        <v>1</v>
      </c>
      <c r="O30" s="57">
        <v>5</v>
      </c>
      <c r="P30" s="57">
        <v>0</v>
      </c>
      <c r="Q30" s="57">
        <v>1</v>
      </c>
      <c r="R30" s="190">
        <f t="shared" si="0"/>
        <v>6</v>
      </c>
      <c r="S30" s="19">
        <v>164.7</v>
      </c>
      <c r="T30" s="57">
        <v>0</v>
      </c>
      <c r="U30" s="57">
        <v>0</v>
      </c>
      <c r="V30" s="57">
        <v>0</v>
      </c>
      <c r="W30" s="190">
        <f t="shared" si="6"/>
        <v>0</v>
      </c>
      <c r="X30" s="20"/>
    </row>
    <row r="31" spans="1:24" ht="12.75">
      <c r="A31" s="54">
        <v>25</v>
      </c>
      <c r="B31" s="57" t="s">
        <v>18</v>
      </c>
      <c r="C31" s="57">
        <v>185</v>
      </c>
      <c r="D31" s="57">
        <v>108</v>
      </c>
      <c r="E31" s="57">
        <v>101</v>
      </c>
      <c r="F31" s="190">
        <f t="shared" si="2"/>
        <v>394</v>
      </c>
      <c r="G31" s="57">
        <v>601</v>
      </c>
      <c r="H31" s="57">
        <v>218</v>
      </c>
      <c r="I31" s="57">
        <v>234</v>
      </c>
      <c r="J31" s="190">
        <f t="shared" si="3"/>
        <v>1053</v>
      </c>
      <c r="K31" s="57">
        <v>154</v>
      </c>
      <c r="L31" s="57">
        <v>86</v>
      </c>
      <c r="M31" s="57">
        <v>21</v>
      </c>
      <c r="N31" s="190">
        <f t="shared" si="4"/>
        <v>261</v>
      </c>
      <c r="O31" s="57">
        <v>220</v>
      </c>
      <c r="P31" s="57">
        <v>47</v>
      </c>
      <c r="Q31" s="57">
        <v>22</v>
      </c>
      <c r="R31" s="190">
        <f t="shared" si="0"/>
        <v>289</v>
      </c>
      <c r="S31" s="19">
        <v>0</v>
      </c>
      <c r="T31" s="57">
        <v>0</v>
      </c>
      <c r="U31" s="57">
        <v>0</v>
      </c>
      <c r="V31" s="57">
        <v>32</v>
      </c>
      <c r="W31" s="190">
        <f t="shared" si="6"/>
        <v>32</v>
      </c>
      <c r="X31" s="19"/>
    </row>
    <row r="32" spans="1:24" ht="12.75">
      <c r="A32" s="54">
        <v>26</v>
      </c>
      <c r="B32" s="57" t="s">
        <v>104</v>
      </c>
      <c r="C32" s="57">
        <v>31</v>
      </c>
      <c r="D32" s="57">
        <v>14</v>
      </c>
      <c r="E32" s="57">
        <v>9</v>
      </c>
      <c r="F32" s="190">
        <f t="shared" si="2"/>
        <v>54</v>
      </c>
      <c r="G32" s="57">
        <v>72</v>
      </c>
      <c r="H32" s="57">
        <v>45</v>
      </c>
      <c r="I32" s="57">
        <v>57</v>
      </c>
      <c r="J32" s="190">
        <f t="shared" si="3"/>
        <v>174</v>
      </c>
      <c r="K32" s="57">
        <v>35</v>
      </c>
      <c r="L32" s="57">
        <v>21</v>
      </c>
      <c r="M32" s="57">
        <v>10</v>
      </c>
      <c r="N32" s="190">
        <f t="shared" si="4"/>
        <v>66</v>
      </c>
      <c r="O32" s="57">
        <v>11</v>
      </c>
      <c r="P32" s="57">
        <v>8</v>
      </c>
      <c r="Q32" s="57">
        <v>7</v>
      </c>
      <c r="R32" s="190">
        <f t="shared" si="0"/>
        <v>26</v>
      </c>
      <c r="S32" s="19">
        <v>0</v>
      </c>
      <c r="T32" s="57">
        <v>0</v>
      </c>
      <c r="U32" s="57">
        <v>0</v>
      </c>
      <c r="V32" s="57">
        <v>0</v>
      </c>
      <c r="W32" s="190">
        <f t="shared" si="6"/>
        <v>0</v>
      </c>
      <c r="X32" s="19"/>
    </row>
    <row r="33" spans="1:24" s="232" customFormat="1" ht="14.25">
      <c r="A33" s="203"/>
      <c r="B33" s="164" t="s">
        <v>226</v>
      </c>
      <c r="C33" s="164">
        <f aca="true" t="shared" si="7" ref="C33:Q33">SUM(C26:C32)</f>
        <v>226</v>
      </c>
      <c r="D33" s="164">
        <f t="shared" si="7"/>
        <v>122</v>
      </c>
      <c r="E33" s="164">
        <f t="shared" si="7"/>
        <v>110</v>
      </c>
      <c r="F33" s="197">
        <f t="shared" si="2"/>
        <v>458</v>
      </c>
      <c r="G33" s="164">
        <f t="shared" si="7"/>
        <v>681</v>
      </c>
      <c r="H33" s="164">
        <f t="shared" si="7"/>
        <v>278</v>
      </c>
      <c r="I33" s="164">
        <f t="shared" si="7"/>
        <v>293</v>
      </c>
      <c r="J33" s="197">
        <f t="shared" si="3"/>
        <v>1252</v>
      </c>
      <c r="K33" s="164">
        <f t="shared" si="7"/>
        <v>190</v>
      </c>
      <c r="L33" s="164">
        <f t="shared" si="7"/>
        <v>110</v>
      </c>
      <c r="M33" s="164">
        <f t="shared" si="7"/>
        <v>31</v>
      </c>
      <c r="N33" s="197">
        <f t="shared" si="4"/>
        <v>331</v>
      </c>
      <c r="O33" s="164">
        <f t="shared" si="7"/>
        <v>236</v>
      </c>
      <c r="P33" s="164">
        <f t="shared" si="7"/>
        <v>68</v>
      </c>
      <c r="Q33" s="164">
        <f t="shared" si="7"/>
        <v>30</v>
      </c>
      <c r="R33" s="197">
        <f>O33+P33+Q33</f>
        <v>334</v>
      </c>
      <c r="S33" s="209"/>
      <c r="T33" s="164">
        <f>SUM(T26:T32)</f>
        <v>0</v>
      </c>
      <c r="U33" s="164">
        <f>SUM(U26:U32)</f>
        <v>13</v>
      </c>
      <c r="V33" s="164">
        <f>SUM(V26:V32)</f>
        <v>32</v>
      </c>
      <c r="W33" s="197">
        <f>T33+U33+V33</f>
        <v>45</v>
      </c>
      <c r="X33" s="209"/>
    </row>
    <row r="34" spans="1:24" ht="12.75">
      <c r="A34" s="54">
        <v>27</v>
      </c>
      <c r="B34" s="57" t="s">
        <v>163</v>
      </c>
      <c r="C34" s="57">
        <v>0</v>
      </c>
      <c r="D34" s="57">
        <v>0</v>
      </c>
      <c r="E34" s="57">
        <v>0</v>
      </c>
      <c r="F34" s="190">
        <f t="shared" si="2"/>
        <v>0</v>
      </c>
      <c r="G34" s="57">
        <v>0</v>
      </c>
      <c r="H34" s="57">
        <v>0</v>
      </c>
      <c r="I34" s="57">
        <v>0</v>
      </c>
      <c r="J34" s="190">
        <f t="shared" si="3"/>
        <v>0</v>
      </c>
      <c r="K34" s="57">
        <v>2</v>
      </c>
      <c r="L34" s="57">
        <v>5</v>
      </c>
      <c r="M34" s="57">
        <v>5</v>
      </c>
      <c r="N34" s="190">
        <f t="shared" si="4"/>
        <v>12</v>
      </c>
      <c r="O34" s="57">
        <v>0</v>
      </c>
      <c r="P34" s="57">
        <v>0</v>
      </c>
      <c r="Q34" s="57">
        <v>0</v>
      </c>
      <c r="R34" s="190">
        <f t="shared" si="0"/>
        <v>0</v>
      </c>
      <c r="S34" s="19">
        <v>0</v>
      </c>
      <c r="T34" s="57">
        <v>0</v>
      </c>
      <c r="U34" s="57">
        <v>0</v>
      </c>
      <c r="V34" s="57">
        <v>0</v>
      </c>
      <c r="W34" s="190">
        <f aca="true" t="shared" si="8" ref="W34:W44">T34+U34+V34</f>
        <v>0</v>
      </c>
      <c r="X34" s="19"/>
    </row>
    <row r="35" spans="1:24" ht="12.75">
      <c r="A35" s="54">
        <v>28</v>
      </c>
      <c r="B35" s="57" t="s">
        <v>354</v>
      </c>
      <c r="C35" s="57">
        <v>0</v>
      </c>
      <c r="D35" s="57">
        <v>0</v>
      </c>
      <c r="E35" s="57">
        <v>0</v>
      </c>
      <c r="F35" s="190">
        <f t="shared" si="2"/>
        <v>0</v>
      </c>
      <c r="G35" s="57">
        <v>0</v>
      </c>
      <c r="H35" s="57">
        <v>0</v>
      </c>
      <c r="I35" s="57">
        <v>0</v>
      </c>
      <c r="J35" s="190">
        <f t="shared" si="3"/>
        <v>0</v>
      </c>
      <c r="K35" s="57">
        <v>0</v>
      </c>
      <c r="L35" s="57">
        <v>0</v>
      </c>
      <c r="M35" s="57">
        <v>0</v>
      </c>
      <c r="N35" s="190">
        <f t="shared" si="4"/>
        <v>0</v>
      </c>
      <c r="O35" s="57">
        <v>0</v>
      </c>
      <c r="P35" s="57">
        <v>0</v>
      </c>
      <c r="Q35" s="57">
        <v>0</v>
      </c>
      <c r="R35" s="190">
        <f t="shared" si="0"/>
        <v>0</v>
      </c>
      <c r="S35" s="19">
        <v>0</v>
      </c>
      <c r="T35" s="57">
        <v>0</v>
      </c>
      <c r="U35" s="57">
        <v>0</v>
      </c>
      <c r="V35" s="57">
        <v>0</v>
      </c>
      <c r="W35" s="190">
        <f t="shared" si="8"/>
        <v>0</v>
      </c>
      <c r="X35" s="19"/>
    </row>
    <row r="36" spans="1:24" ht="12.75">
      <c r="A36" s="54">
        <v>29</v>
      </c>
      <c r="B36" s="57" t="s">
        <v>218</v>
      </c>
      <c r="C36" s="57">
        <v>0</v>
      </c>
      <c r="D36" s="57">
        <v>0</v>
      </c>
      <c r="E36" s="57">
        <v>0</v>
      </c>
      <c r="F36" s="190">
        <f t="shared" si="2"/>
        <v>0</v>
      </c>
      <c r="G36" s="57">
        <v>0</v>
      </c>
      <c r="H36" s="57">
        <v>0</v>
      </c>
      <c r="I36" s="57">
        <v>0</v>
      </c>
      <c r="J36" s="190">
        <f t="shared" si="3"/>
        <v>0</v>
      </c>
      <c r="K36" s="57">
        <v>0</v>
      </c>
      <c r="L36" s="57">
        <v>0</v>
      </c>
      <c r="M36" s="57">
        <v>0</v>
      </c>
      <c r="N36" s="190">
        <f t="shared" si="4"/>
        <v>0</v>
      </c>
      <c r="O36" s="57">
        <v>0</v>
      </c>
      <c r="P36" s="57">
        <v>0</v>
      </c>
      <c r="Q36" s="57">
        <v>0</v>
      </c>
      <c r="R36" s="190">
        <f t="shared" si="0"/>
        <v>0</v>
      </c>
      <c r="S36" s="19"/>
      <c r="T36" s="57">
        <v>0</v>
      </c>
      <c r="U36" s="57">
        <v>0</v>
      </c>
      <c r="V36" s="57">
        <v>0</v>
      </c>
      <c r="W36" s="190">
        <f t="shared" si="8"/>
        <v>0</v>
      </c>
      <c r="X36" s="19"/>
    </row>
    <row r="37" spans="1:24" ht="12.75">
      <c r="A37" s="54">
        <v>30</v>
      </c>
      <c r="B37" s="57" t="s">
        <v>236</v>
      </c>
      <c r="C37" s="57">
        <v>0</v>
      </c>
      <c r="D37" s="57">
        <v>0</v>
      </c>
      <c r="E37" s="57">
        <v>0</v>
      </c>
      <c r="F37" s="190">
        <f t="shared" si="2"/>
        <v>0</v>
      </c>
      <c r="G37" s="57">
        <v>6</v>
      </c>
      <c r="H37" s="57">
        <v>5</v>
      </c>
      <c r="I37" s="57">
        <v>0</v>
      </c>
      <c r="J37" s="190">
        <f t="shared" si="3"/>
        <v>11</v>
      </c>
      <c r="K37" s="57">
        <v>0</v>
      </c>
      <c r="L37" s="57">
        <v>0</v>
      </c>
      <c r="M37" s="57">
        <v>0</v>
      </c>
      <c r="N37" s="190">
        <f t="shared" si="4"/>
        <v>0</v>
      </c>
      <c r="O37" s="57">
        <v>1</v>
      </c>
      <c r="P37" s="57">
        <v>2</v>
      </c>
      <c r="Q37" s="57">
        <v>0</v>
      </c>
      <c r="R37" s="190">
        <f t="shared" si="0"/>
        <v>3</v>
      </c>
      <c r="S37" s="19"/>
      <c r="T37" s="57">
        <v>0</v>
      </c>
      <c r="U37" s="57">
        <v>0</v>
      </c>
      <c r="V37" s="57">
        <v>0</v>
      </c>
      <c r="W37" s="190">
        <f t="shared" si="8"/>
        <v>0</v>
      </c>
      <c r="X37" s="19"/>
    </row>
    <row r="38" spans="1:24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190">
        <f t="shared" si="2"/>
        <v>0</v>
      </c>
      <c r="G38" s="57">
        <v>0</v>
      </c>
      <c r="H38" s="57">
        <v>0</v>
      </c>
      <c r="I38" s="57">
        <v>0</v>
      </c>
      <c r="J38" s="190">
        <f t="shared" si="3"/>
        <v>0</v>
      </c>
      <c r="K38" s="57">
        <v>0</v>
      </c>
      <c r="L38" s="57">
        <v>0</v>
      </c>
      <c r="M38" s="57">
        <v>0</v>
      </c>
      <c r="N38" s="190">
        <f t="shared" si="4"/>
        <v>0</v>
      </c>
      <c r="O38" s="57">
        <v>0</v>
      </c>
      <c r="P38" s="57">
        <v>0</v>
      </c>
      <c r="Q38" s="57">
        <v>0</v>
      </c>
      <c r="R38" s="190">
        <f t="shared" si="0"/>
        <v>0</v>
      </c>
      <c r="S38" s="19"/>
      <c r="T38" s="57">
        <v>0</v>
      </c>
      <c r="U38" s="57">
        <v>0</v>
      </c>
      <c r="V38" s="57">
        <v>0</v>
      </c>
      <c r="W38" s="190">
        <f t="shared" si="8"/>
        <v>0</v>
      </c>
      <c r="X38" s="19"/>
    </row>
    <row r="39" spans="1:24" ht="12.75">
      <c r="A39" s="54">
        <v>32</v>
      </c>
      <c r="B39" s="57" t="s">
        <v>220</v>
      </c>
      <c r="C39" s="57">
        <v>0</v>
      </c>
      <c r="D39" s="57">
        <v>0</v>
      </c>
      <c r="E39" s="57">
        <v>0</v>
      </c>
      <c r="F39" s="190">
        <f t="shared" si="2"/>
        <v>0</v>
      </c>
      <c r="G39" s="57">
        <v>0</v>
      </c>
      <c r="H39" s="57">
        <v>0</v>
      </c>
      <c r="I39" s="57">
        <v>0</v>
      </c>
      <c r="J39" s="190">
        <f t="shared" si="3"/>
        <v>0</v>
      </c>
      <c r="K39" s="57">
        <v>0</v>
      </c>
      <c r="L39" s="57">
        <v>0</v>
      </c>
      <c r="M39" s="57">
        <v>0</v>
      </c>
      <c r="N39" s="190">
        <f t="shared" si="4"/>
        <v>0</v>
      </c>
      <c r="O39" s="57">
        <v>0</v>
      </c>
      <c r="P39" s="57">
        <v>0</v>
      </c>
      <c r="Q39" s="57">
        <v>0</v>
      </c>
      <c r="R39" s="190">
        <f t="shared" si="0"/>
        <v>0</v>
      </c>
      <c r="S39" s="19">
        <v>0</v>
      </c>
      <c r="T39" s="57">
        <v>0</v>
      </c>
      <c r="U39" s="57">
        <v>0</v>
      </c>
      <c r="V39" s="57">
        <v>0</v>
      </c>
      <c r="W39" s="190">
        <f t="shared" si="8"/>
        <v>0</v>
      </c>
      <c r="X39" s="19"/>
    </row>
    <row r="40" spans="1:24" ht="12.75">
      <c r="A40" s="110">
        <v>33</v>
      </c>
      <c r="B40" s="111" t="s">
        <v>363</v>
      </c>
      <c r="C40" s="57">
        <v>0</v>
      </c>
      <c r="D40" s="57">
        <v>0</v>
      </c>
      <c r="E40" s="57">
        <v>0</v>
      </c>
      <c r="F40" s="190">
        <f t="shared" si="2"/>
        <v>0</v>
      </c>
      <c r="G40" s="57">
        <v>0</v>
      </c>
      <c r="H40" s="57">
        <v>0</v>
      </c>
      <c r="I40" s="57">
        <v>0</v>
      </c>
      <c r="J40" s="190">
        <f t="shared" si="3"/>
        <v>0</v>
      </c>
      <c r="K40" s="57">
        <v>0</v>
      </c>
      <c r="L40" s="57">
        <v>0</v>
      </c>
      <c r="M40" s="57">
        <v>0</v>
      </c>
      <c r="N40" s="190">
        <f t="shared" si="4"/>
        <v>0</v>
      </c>
      <c r="O40" s="57">
        <v>0</v>
      </c>
      <c r="P40" s="57">
        <v>0</v>
      </c>
      <c r="Q40" s="57">
        <v>0</v>
      </c>
      <c r="R40" s="190">
        <f t="shared" si="0"/>
        <v>0</v>
      </c>
      <c r="S40" s="19"/>
      <c r="T40" s="57">
        <v>0</v>
      </c>
      <c r="U40" s="57">
        <v>0</v>
      </c>
      <c r="V40" s="57">
        <v>0</v>
      </c>
      <c r="W40" s="190">
        <f t="shared" si="8"/>
        <v>0</v>
      </c>
      <c r="X40" s="19"/>
    </row>
    <row r="41" spans="1:24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190">
        <f t="shared" si="2"/>
        <v>0</v>
      </c>
      <c r="G41" s="57">
        <v>2</v>
      </c>
      <c r="H41" s="57">
        <v>0</v>
      </c>
      <c r="I41" s="57">
        <v>1</v>
      </c>
      <c r="J41" s="190">
        <f t="shared" si="3"/>
        <v>3</v>
      </c>
      <c r="K41" s="57">
        <v>0</v>
      </c>
      <c r="L41" s="57">
        <v>0</v>
      </c>
      <c r="M41" s="57">
        <v>0</v>
      </c>
      <c r="N41" s="190">
        <f t="shared" si="4"/>
        <v>0</v>
      </c>
      <c r="O41" s="57">
        <v>0</v>
      </c>
      <c r="P41" s="57">
        <v>0</v>
      </c>
      <c r="Q41" s="57">
        <v>0</v>
      </c>
      <c r="R41" s="190">
        <f t="shared" si="0"/>
        <v>0</v>
      </c>
      <c r="S41" s="19"/>
      <c r="T41" s="57">
        <v>0</v>
      </c>
      <c r="U41" s="57">
        <v>0</v>
      </c>
      <c r="V41" s="57">
        <v>0</v>
      </c>
      <c r="W41" s="190">
        <f t="shared" si="8"/>
        <v>0</v>
      </c>
      <c r="X41" s="19"/>
    </row>
    <row r="42" spans="1:24" ht="12.75">
      <c r="A42" s="54">
        <v>35</v>
      </c>
      <c r="B42" s="57" t="s">
        <v>256</v>
      </c>
      <c r="C42" s="57">
        <v>0</v>
      </c>
      <c r="D42" s="57">
        <v>0</v>
      </c>
      <c r="E42" s="57">
        <v>0</v>
      </c>
      <c r="F42" s="190">
        <f t="shared" si="2"/>
        <v>0</v>
      </c>
      <c r="G42" s="57">
        <v>2</v>
      </c>
      <c r="H42" s="57">
        <v>2</v>
      </c>
      <c r="I42" s="57">
        <v>2</v>
      </c>
      <c r="J42" s="190">
        <f t="shared" si="3"/>
        <v>6</v>
      </c>
      <c r="K42" s="57">
        <v>0</v>
      </c>
      <c r="L42" s="57">
        <v>0</v>
      </c>
      <c r="M42" s="57">
        <v>0</v>
      </c>
      <c r="N42" s="190">
        <f t="shared" si="4"/>
        <v>0</v>
      </c>
      <c r="O42" s="57">
        <v>0</v>
      </c>
      <c r="P42" s="57">
        <v>0</v>
      </c>
      <c r="Q42" s="57">
        <v>0</v>
      </c>
      <c r="R42" s="190">
        <f t="shared" si="0"/>
        <v>0</v>
      </c>
      <c r="S42" s="19">
        <v>0</v>
      </c>
      <c r="T42" s="57">
        <v>0</v>
      </c>
      <c r="U42" s="57">
        <v>0</v>
      </c>
      <c r="V42" s="57">
        <v>0</v>
      </c>
      <c r="W42" s="190">
        <f t="shared" si="8"/>
        <v>0</v>
      </c>
      <c r="X42" s="19"/>
    </row>
    <row r="43" spans="1:24" ht="12.75">
      <c r="A43" s="54">
        <v>36</v>
      </c>
      <c r="B43" s="57" t="s">
        <v>24</v>
      </c>
      <c r="C43" s="57">
        <v>0</v>
      </c>
      <c r="D43" s="57">
        <v>0</v>
      </c>
      <c r="E43" s="57">
        <v>0</v>
      </c>
      <c r="F43" s="190">
        <f t="shared" si="2"/>
        <v>0</v>
      </c>
      <c r="G43" s="57">
        <v>0</v>
      </c>
      <c r="H43" s="57">
        <v>4</v>
      </c>
      <c r="I43" s="57">
        <v>8</v>
      </c>
      <c r="J43" s="190">
        <f t="shared" si="3"/>
        <v>12</v>
      </c>
      <c r="K43" s="57">
        <v>0</v>
      </c>
      <c r="L43" s="57">
        <v>1</v>
      </c>
      <c r="M43" s="57">
        <v>0</v>
      </c>
      <c r="N43" s="190">
        <f t="shared" si="4"/>
        <v>1</v>
      </c>
      <c r="O43" s="57">
        <v>0</v>
      </c>
      <c r="P43" s="57">
        <v>2</v>
      </c>
      <c r="Q43" s="57">
        <v>0</v>
      </c>
      <c r="R43" s="190">
        <f t="shared" si="0"/>
        <v>2</v>
      </c>
      <c r="S43" s="19">
        <v>64.48</v>
      </c>
      <c r="T43" s="57">
        <v>0</v>
      </c>
      <c r="U43" s="57">
        <v>0</v>
      </c>
      <c r="V43" s="57">
        <v>0</v>
      </c>
      <c r="W43" s="190">
        <f t="shared" si="8"/>
        <v>0</v>
      </c>
      <c r="X43" s="19"/>
    </row>
    <row r="44" spans="1:24" ht="12.75">
      <c r="A44" s="54">
        <v>37</v>
      </c>
      <c r="B44" s="57" t="s">
        <v>223</v>
      </c>
      <c r="C44" s="57">
        <v>0</v>
      </c>
      <c r="D44" s="57">
        <v>0</v>
      </c>
      <c r="E44" s="57">
        <v>0</v>
      </c>
      <c r="F44" s="190">
        <f t="shared" si="2"/>
        <v>0</v>
      </c>
      <c r="G44" s="57">
        <v>0</v>
      </c>
      <c r="H44" s="57">
        <v>0</v>
      </c>
      <c r="I44" s="57">
        <v>0</v>
      </c>
      <c r="J44" s="190">
        <f t="shared" si="3"/>
        <v>0</v>
      </c>
      <c r="K44" s="57">
        <v>0</v>
      </c>
      <c r="L44" s="57">
        <v>0</v>
      </c>
      <c r="M44" s="57">
        <v>0</v>
      </c>
      <c r="N44" s="190">
        <f t="shared" si="4"/>
        <v>0</v>
      </c>
      <c r="O44" s="57">
        <v>0</v>
      </c>
      <c r="P44" s="57">
        <v>0</v>
      </c>
      <c r="Q44" s="57">
        <v>0</v>
      </c>
      <c r="R44" s="190">
        <f t="shared" si="0"/>
        <v>0</v>
      </c>
      <c r="S44" s="19">
        <v>0</v>
      </c>
      <c r="T44" s="57">
        <v>0</v>
      </c>
      <c r="U44" s="57">
        <v>0</v>
      </c>
      <c r="V44" s="57">
        <v>0</v>
      </c>
      <c r="W44" s="190">
        <f t="shared" si="8"/>
        <v>0</v>
      </c>
      <c r="X44" s="19"/>
    </row>
    <row r="45" spans="1:24" ht="12.75">
      <c r="A45" s="54">
        <v>38</v>
      </c>
      <c r="B45" s="57" t="s">
        <v>364</v>
      </c>
      <c r="C45" s="57">
        <v>0</v>
      </c>
      <c r="D45" s="57">
        <v>0</v>
      </c>
      <c r="E45" s="57">
        <v>0</v>
      </c>
      <c r="F45" s="190">
        <f>C45+D45+E45</f>
        <v>0</v>
      </c>
      <c r="G45" s="57">
        <v>0</v>
      </c>
      <c r="H45" s="57">
        <v>0</v>
      </c>
      <c r="I45" s="57">
        <v>0</v>
      </c>
      <c r="J45" s="190">
        <f t="shared" si="3"/>
        <v>0</v>
      </c>
      <c r="K45" s="57">
        <v>0</v>
      </c>
      <c r="L45" s="57">
        <v>0</v>
      </c>
      <c r="M45" s="57">
        <v>0</v>
      </c>
      <c r="N45" s="190">
        <f>K45+L45+M45</f>
        <v>0</v>
      </c>
      <c r="O45" s="57">
        <v>0</v>
      </c>
      <c r="P45" s="57">
        <v>0</v>
      </c>
      <c r="Q45" s="57">
        <v>0</v>
      </c>
      <c r="R45" s="190">
        <f>O45+P45+Q45</f>
        <v>0</v>
      </c>
      <c r="S45" s="19"/>
      <c r="T45" s="57">
        <v>0</v>
      </c>
      <c r="U45" s="57">
        <v>0</v>
      </c>
      <c r="V45" s="57">
        <v>0</v>
      </c>
      <c r="W45" s="190">
        <f>T45+U45+V45</f>
        <v>0</v>
      </c>
      <c r="X45" s="19"/>
    </row>
    <row r="46" spans="1:24" ht="12.75">
      <c r="A46" s="54">
        <v>39</v>
      </c>
      <c r="B46" s="57" t="s">
        <v>366</v>
      </c>
      <c r="C46" s="57">
        <v>0</v>
      </c>
      <c r="D46" s="57">
        <v>0</v>
      </c>
      <c r="E46" s="57">
        <v>0</v>
      </c>
      <c r="F46" s="190">
        <f t="shared" si="2"/>
        <v>0</v>
      </c>
      <c r="G46" s="57">
        <v>2</v>
      </c>
      <c r="H46" s="57">
        <v>0</v>
      </c>
      <c r="I46" s="57">
        <v>1</v>
      </c>
      <c r="J46" s="190">
        <f t="shared" si="3"/>
        <v>3</v>
      </c>
      <c r="K46" s="57">
        <v>0</v>
      </c>
      <c r="L46" s="57">
        <v>0</v>
      </c>
      <c r="M46" s="57">
        <v>0</v>
      </c>
      <c r="N46" s="190">
        <f t="shared" si="4"/>
        <v>0</v>
      </c>
      <c r="O46" s="57">
        <v>0</v>
      </c>
      <c r="P46" s="57">
        <v>0</v>
      </c>
      <c r="Q46" s="57">
        <v>0</v>
      </c>
      <c r="R46" s="190">
        <f t="shared" si="0"/>
        <v>0</v>
      </c>
      <c r="S46" s="19"/>
      <c r="T46" s="57">
        <v>0</v>
      </c>
      <c r="U46" s="57">
        <v>0</v>
      </c>
      <c r="V46" s="57">
        <v>0</v>
      </c>
      <c r="W46" s="190">
        <f>T46+U46+V46</f>
        <v>0</v>
      </c>
      <c r="X46" s="19"/>
    </row>
    <row r="47" spans="1:24" s="232" customFormat="1" ht="14.25">
      <c r="A47" s="203"/>
      <c r="B47" s="164" t="s">
        <v>225</v>
      </c>
      <c r="C47" s="164">
        <f>SUM(C34:C46)</f>
        <v>0</v>
      </c>
      <c r="D47" s="164">
        <f>SUM(D34:D46)</f>
        <v>0</v>
      </c>
      <c r="E47" s="164">
        <f>SUM(E34:E46)</f>
        <v>0</v>
      </c>
      <c r="F47" s="197">
        <f t="shared" si="2"/>
        <v>0</v>
      </c>
      <c r="G47" s="164">
        <f>SUM(G34:G46)</f>
        <v>12</v>
      </c>
      <c r="H47" s="164">
        <f>SUM(H34:H46)</f>
        <v>11</v>
      </c>
      <c r="I47" s="164">
        <f>SUM(I34:I46)</f>
        <v>12</v>
      </c>
      <c r="J47" s="197">
        <f t="shared" si="3"/>
        <v>35</v>
      </c>
      <c r="K47" s="164">
        <f>SUM(K34:K46)</f>
        <v>2</v>
      </c>
      <c r="L47" s="164">
        <f>SUM(L34:L46)</f>
        <v>6</v>
      </c>
      <c r="M47" s="164">
        <f>SUM(M34:M46)</f>
        <v>5</v>
      </c>
      <c r="N47" s="197">
        <f t="shared" si="4"/>
        <v>13</v>
      </c>
      <c r="O47" s="164">
        <f>SUM(O34:O46)</f>
        <v>1</v>
      </c>
      <c r="P47" s="164">
        <f>SUM(P34:P46)</f>
        <v>4</v>
      </c>
      <c r="Q47" s="164">
        <f>SUM(Q34:Q46)</f>
        <v>0</v>
      </c>
      <c r="R47" s="197">
        <f t="shared" si="0"/>
        <v>5</v>
      </c>
      <c r="S47" s="209"/>
      <c r="T47" s="164">
        <f>SUM(T34:T46)</f>
        <v>0</v>
      </c>
      <c r="U47" s="164">
        <f>SUM(U34:U46)</f>
        <v>0</v>
      </c>
      <c r="V47" s="164">
        <f>SUM(V34:V46)</f>
        <v>0</v>
      </c>
      <c r="W47" s="197">
        <f>T47+U47+V47</f>
        <v>0</v>
      </c>
      <c r="X47" s="209"/>
    </row>
    <row r="48" spans="1:24" s="232" customFormat="1" ht="14.25">
      <c r="A48" s="203"/>
      <c r="B48" s="204" t="s">
        <v>123</v>
      </c>
      <c r="C48" s="164">
        <f aca="true" t="shared" si="9" ref="C48:R48">C25+C33+C47</f>
        <v>921</v>
      </c>
      <c r="D48" s="164">
        <f t="shared" si="9"/>
        <v>765</v>
      </c>
      <c r="E48" s="164">
        <f t="shared" si="9"/>
        <v>201</v>
      </c>
      <c r="F48" s="197">
        <f t="shared" si="9"/>
        <v>1887</v>
      </c>
      <c r="G48" s="164">
        <f t="shared" si="9"/>
        <v>1935</v>
      </c>
      <c r="H48" s="164">
        <f t="shared" si="9"/>
        <v>1937</v>
      </c>
      <c r="I48" s="164">
        <f t="shared" si="9"/>
        <v>1060</v>
      </c>
      <c r="J48" s="197">
        <f t="shared" si="9"/>
        <v>4932</v>
      </c>
      <c r="K48" s="164">
        <f t="shared" si="9"/>
        <v>441</v>
      </c>
      <c r="L48" s="164">
        <f t="shared" si="9"/>
        <v>412</v>
      </c>
      <c r="M48" s="164">
        <f t="shared" si="9"/>
        <v>147</v>
      </c>
      <c r="N48" s="197">
        <f t="shared" si="9"/>
        <v>1000</v>
      </c>
      <c r="O48" s="164">
        <f t="shared" si="9"/>
        <v>664</v>
      </c>
      <c r="P48" s="164">
        <f t="shared" si="9"/>
        <v>548</v>
      </c>
      <c r="Q48" s="164">
        <f t="shared" si="9"/>
        <v>197</v>
      </c>
      <c r="R48" s="197">
        <f t="shared" si="9"/>
        <v>1409</v>
      </c>
      <c r="S48" s="210"/>
      <c r="T48" s="164">
        <f>T25+T33+T47</f>
        <v>8</v>
      </c>
      <c r="U48" s="164">
        <f>U25+U33+U47</f>
        <v>31</v>
      </c>
      <c r="V48" s="164">
        <f>V25+V33+V47</f>
        <v>43</v>
      </c>
      <c r="W48" s="197">
        <f>W25+W33+W47</f>
        <v>82</v>
      </c>
      <c r="X48" s="209"/>
    </row>
    <row r="49" spans="2:24" ht="15.75" customHeight="1">
      <c r="B49" s="502"/>
      <c r="C49" s="502"/>
      <c r="D49" s="502"/>
      <c r="E49" s="502"/>
      <c r="S49" s="20"/>
      <c r="T49" s="20"/>
      <c r="U49" s="20"/>
      <c r="V49" s="20"/>
      <c r="W49" s="105"/>
      <c r="X49" s="20"/>
    </row>
    <row r="50" spans="2:24" ht="15.75" customHeight="1">
      <c r="B50" s="502"/>
      <c r="C50" s="502"/>
      <c r="D50" s="502"/>
      <c r="E50" s="502"/>
      <c r="S50" s="20"/>
      <c r="T50" s="20"/>
      <c r="U50" s="20"/>
      <c r="V50" s="20"/>
      <c r="W50" s="105"/>
      <c r="X50" s="20"/>
    </row>
    <row r="51" spans="2:24" ht="15.75" customHeight="1">
      <c r="B51" s="502"/>
      <c r="C51" s="502"/>
      <c r="D51" s="502"/>
      <c r="E51" s="502"/>
      <c r="S51" s="20"/>
      <c r="T51" s="20"/>
      <c r="U51" s="20"/>
      <c r="V51" s="20"/>
      <c r="W51" s="105"/>
      <c r="X51" s="20"/>
    </row>
    <row r="52" spans="1:24" ht="15" customHeight="1">
      <c r="A52" s="205" t="s">
        <v>4</v>
      </c>
      <c r="B52" s="205" t="s">
        <v>5</v>
      </c>
      <c r="C52" s="624" t="s">
        <v>207</v>
      </c>
      <c r="D52" s="671"/>
      <c r="E52" s="671"/>
      <c r="F52" s="625"/>
      <c r="G52" s="624" t="s">
        <v>195</v>
      </c>
      <c r="H52" s="671"/>
      <c r="I52" s="671"/>
      <c r="J52" s="625"/>
      <c r="K52" s="624" t="s">
        <v>208</v>
      </c>
      <c r="L52" s="671"/>
      <c r="M52" s="671"/>
      <c r="N52" s="625"/>
      <c r="O52" s="624" t="s">
        <v>209</v>
      </c>
      <c r="P52" s="671"/>
      <c r="Q52" s="671"/>
      <c r="R52" s="625"/>
      <c r="S52" s="20"/>
      <c r="T52" s="624" t="s">
        <v>425</v>
      </c>
      <c r="U52" s="671"/>
      <c r="V52" s="671"/>
      <c r="W52" s="625"/>
      <c r="X52" s="20"/>
    </row>
    <row r="53" spans="1:24" ht="15" customHeight="1">
      <c r="A53" s="206"/>
      <c r="B53" s="206"/>
      <c r="C53" s="178" t="s">
        <v>201</v>
      </c>
      <c r="D53" s="178" t="s">
        <v>202</v>
      </c>
      <c r="E53" s="178" t="s">
        <v>203</v>
      </c>
      <c r="F53" s="269" t="s">
        <v>3</v>
      </c>
      <c r="G53" s="178" t="s">
        <v>201</v>
      </c>
      <c r="H53" s="178" t="s">
        <v>202</v>
      </c>
      <c r="I53" s="178" t="s">
        <v>203</v>
      </c>
      <c r="J53" s="269" t="s">
        <v>3</v>
      </c>
      <c r="K53" s="178" t="s">
        <v>201</v>
      </c>
      <c r="L53" s="178" t="s">
        <v>202</v>
      </c>
      <c r="M53" s="178" t="s">
        <v>203</v>
      </c>
      <c r="N53" s="269" t="s">
        <v>3</v>
      </c>
      <c r="O53" s="178" t="s">
        <v>201</v>
      </c>
      <c r="P53" s="178" t="s">
        <v>202</v>
      </c>
      <c r="Q53" s="178" t="s">
        <v>203</v>
      </c>
      <c r="R53" s="269" t="s">
        <v>3</v>
      </c>
      <c r="S53" s="20"/>
      <c r="T53" s="178" t="s">
        <v>201</v>
      </c>
      <c r="U53" s="178" t="s">
        <v>202</v>
      </c>
      <c r="V53" s="178" t="s">
        <v>203</v>
      </c>
      <c r="W53" s="269" t="s">
        <v>3</v>
      </c>
      <c r="X53" s="20"/>
    </row>
    <row r="54" spans="1:23" ht="15" customHeight="1">
      <c r="A54" s="54">
        <v>40</v>
      </c>
      <c r="B54" s="57" t="s">
        <v>78</v>
      </c>
      <c r="C54" s="57">
        <v>0</v>
      </c>
      <c r="D54" s="57">
        <v>0</v>
      </c>
      <c r="E54" s="57">
        <v>0</v>
      </c>
      <c r="F54" s="190">
        <f aca="true" t="shared" si="10" ref="F54:F61">C54+D54+E54</f>
        <v>0</v>
      </c>
      <c r="G54" s="57">
        <v>0</v>
      </c>
      <c r="H54" s="57">
        <v>0</v>
      </c>
      <c r="I54" s="57">
        <v>0</v>
      </c>
      <c r="J54" s="190">
        <f aca="true" t="shared" si="11" ref="J54:J61">G54+H54+I54</f>
        <v>0</v>
      </c>
      <c r="K54" s="57">
        <v>0</v>
      </c>
      <c r="L54" s="57">
        <v>0</v>
      </c>
      <c r="M54" s="57">
        <v>0</v>
      </c>
      <c r="N54" s="190">
        <f aca="true" t="shared" si="12" ref="N54:N61">K54+L54+M54</f>
        <v>0</v>
      </c>
      <c r="O54" s="57">
        <v>0</v>
      </c>
      <c r="P54" s="57">
        <v>0</v>
      </c>
      <c r="Q54" s="57">
        <v>0</v>
      </c>
      <c r="R54" s="190">
        <f aca="true" t="shared" si="13" ref="R54:R61">O54+P54+Q54</f>
        <v>0</v>
      </c>
      <c r="T54" s="57">
        <v>0</v>
      </c>
      <c r="U54" s="57">
        <v>0</v>
      </c>
      <c r="V54" s="57">
        <v>0</v>
      </c>
      <c r="W54" s="190">
        <f aca="true" t="shared" si="14" ref="W54:W61">T54+U54+V54</f>
        <v>0</v>
      </c>
    </row>
    <row r="55" spans="1:23" ht="15" customHeight="1">
      <c r="A55" s="54">
        <v>41</v>
      </c>
      <c r="B55" s="57" t="s">
        <v>278</v>
      </c>
      <c r="C55" s="57">
        <v>20</v>
      </c>
      <c r="D55" s="57">
        <v>12</v>
      </c>
      <c r="E55" s="57">
        <v>2</v>
      </c>
      <c r="F55" s="190">
        <f t="shared" si="10"/>
        <v>34</v>
      </c>
      <c r="G55" s="57">
        <v>0</v>
      </c>
      <c r="H55" s="57">
        <v>0</v>
      </c>
      <c r="I55" s="57">
        <v>0</v>
      </c>
      <c r="J55" s="190">
        <f t="shared" si="11"/>
        <v>0</v>
      </c>
      <c r="K55" s="57">
        <v>3</v>
      </c>
      <c r="L55" s="57">
        <v>1</v>
      </c>
      <c r="M55" s="57">
        <v>0</v>
      </c>
      <c r="N55" s="190">
        <f t="shared" si="12"/>
        <v>4</v>
      </c>
      <c r="O55" s="57">
        <v>21</v>
      </c>
      <c r="P55" s="57">
        <v>13</v>
      </c>
      <c r="Q55" s="57">
        <v>7</v>
      </c>
      <c r="R55" s="190">
        <f t="shared" si="13"/>
        <v>41</v>
      </c>
      <c r="T55" s="57">
        <v>0</v>
      </c>
      <c r="U55" s="57">
        <v>0</v>
      </c>
      <c r="V55" s="57">
        <v>0</v>
      </c>
      <c r="W55" s="190">
        <f t="shared" si="14"/>
        <v>0</v>
      </c>
    </row>
    <row r="56" spans="1:23" ht="15" customHeight="1">
      <c r="A56" s="54">
        <v>42</v>
      </c>
      <c r="B56" s="57" t="s">
        <v>30</v>
      </c>
      <c r="C56" s="57">
        <v>0</v>
      </c>
      <c r="D56" s="57">
        <v>0</v>
      </c>
      <c r="E56" s="57">
        <v>0</v>
      </c>
      <c r="F56" s="190">
        <f t="shared" si="10"/>
        <v>0</v>
      </c>
      <c r="G56" s="57">
        <v>1</v>
      </c>
      <c r="H56" s="57">
        <v>0</v>
      </c>
      <c r="I56" s="57">
        <v>0</v>
      </c>
      <c r="J56" s="190">
        <f t="shared" si="11"/>
        <v>1</v>
      </c>
      <c r="K56" s="57">
        <v>0</v>
      </c>
      <c r="L56" s="57">
        <v>0</v>
      </c>
      <c r="M56" s="57">
        <v>0</v>
      </c>
      <c r="N56" s="190">
        <f t="shared" si="12"/>
        <v>0</v>
      </c>
      <c r="O56" s="57">
        <v>0</v>
      </c>
      <c r="P56" s="57">
        <v>0</v>
      </c>
      <c r="Q56" s="57">
        <v>0</v>
      </c>
      <c r="R56" s="190">
        <f t="shared" si="13"/>
        <v>0</v>
      </c>
      <c r="T56" s="57">
        <v>0</v>
      </c>
      <c r="U56" s="57">
        <v>0</v>
      </c>
      <c r="V56" s="57">
        <v>0</v>
      </c>
      <c r="W56" s="190">
        <f t="shared" si="14"/>
        <v>0</v>
      </c>
    </row>
    <row r="57" spans="1:23" ht="15" customHeight="1">
      <c r="A57" s="54">
        <v>43</v>
      </c>
      <c r="B57" s="57" t="s">
        <v>234</v>
      </c>
      <c r="C57" s="57">
        <v>0</v>
      </c>
      <c r="D57" s="57">
        <v>3</v>
      </c>
      <c r="E57" s="57">
        <v>0</v>
      </c>
      <c r="F57" s="190">
        <f t="shared" si="10"/>
        <v>3</v>
      </c>
      <c r="G57" s="57">
        <v>0</v>
      </c>
      <c r="H57" s="57">
        <v>0</v>
      </c>
      <c r="I57" s="57">
        <v>0</v>
      </c>
      <c r="J57" s="190">
        <f t="shared" si="11"/>
        <v>0</v>
      </c>
      <c r="K57" s="57">
        <v>0</v>
      </c>
      <c r="L57" s="57">
        <v>0</v>
      </c>
      <c r="M57" s="57">
        <v>0</v>
      </c>
      <c r="N57" s="190">
        <f t="shared" si="12"/>
        <v>0</v>
      </c>
      <c r="O57" s="57">
        <v>3</v>
      </c>
      <c r="P57" s="57">
        <v>16</v>
      </c>
      <c r="Q57" s="57">
        <v>4</v>
      </c>
      <c r="R57" s="190">
        <f t="shared" si="13"/>
        <v>23</v>
      </c>
      <c r="T57" s="57">
        <v>0</v>
      </c>
      <c r="U57" s="57">
        <v>0</v>
      </c>
      <c r="V57" s="57">
        <v>0</v>
      </c>
      <c r="W57" s="190">
        <f t="shared" si="14"/>
        <v>0</v>
      </c>
    </row>
    <row r="58" spans="1:23" ht="15" customHeight="1">
      <c r="A58" s="54">
        <v>44</v>
      </c>
      <c r="B58" s="57" t="s">
        <v>29</v>
      </c>
      <c r="C58" s="57">
        <v>0</v>
      </c>
      <c r="D58" s="57">
        <v>0</v>
      </c>
      <c r="E58" s="57">
        <v>0</v>
      </c>
      <c r="F58" s="190">
        <f t="shared" si="10"/>
        <v>0</v>
      </c>
      <c r="G58" s="57">
        <v>0</v>
      </c>
      <c r="H58" s="57">
        <v>0</v>
      </c>
      <c r="I58" s="57">
        <v>0</v>
      </c>
      <c r="J58" s="190">
        <f t="shared" si="11"/>
        <v>0</v>
      </c>
      <c r="K58" s="57">
        <v>0</v>
      </c>
      <c r="L58" s="57">
        <v>0</v>
      </c>
      <c r="M58" s="57">
        <v>0</v>
      </c>
      <c r="N58" s="190">
        <f t="shared" si="12"/>
        <v>0</v>
      </c>
      <c r="O58" s="57">
        <v>0</v>
      </c>
      <c r="P58" s="57">
        <v>0</v>
      </c>
      <c r="Q58" s="57">
        <v>0</v>
      </c>
      <c r="R58" s="190">
        <f t="shared" si="13"/>
        <v>0</v>
      </c>
      <c r="T58" s="57">
        <v>0</v>
      </c>
      <c r="U58" s="57">
        <v>0</v>
      </c>
      <c r="V58" s="57">
        <v>0</v>
      </c>
      <c r="W58" s="190">
        <f t="shared" si="14"/>
        <v>0</v>
      </c>
    </row>
    <row r="59" spans="1:23" ht="15" customHeight="1">
      <c r="A59" s="54">
        <v>45</v>
      </c>
      <c r="B59" s="57" t="s">
        <v>391</v>
      </c>
      <c r="C59" s="57">
        <v>125</v>
      </c>
      <c r="D59" s="57">
        <v>183</v>
      </c>
      <c r="E59" s="57">
        <v>3</v>
      </c>
      <c r="F59" s="190">
        <f t="shared" si="10"/>
        <v>311</v>
      </c>
      <c r="G59" s="57">
        <v>0</v>
      </c>
      <c r="H59" s="57">
        <v>0</v>
      </c>
      <c r="I59" s="57">
        <v>0</v>
      </c>
      <c r="J59" s="190">
        <f t="shared" si="11"/>
        <v>0</v>
      </c>
      <c r="K59" s="57">
        <v>0</v>
      </c>
      <c r="L59" s="57">
        <v>0</v>
      </c>
      <c r="M59" s="57">
        <v>0</v>
      </c>
      <c r="N59" s="190">
        <f t="shared" si="12"/>
        <v>0</v>
      </c>
      <c r="O59" s="57">
        <v>172</v>
      </c>
      <c r="P59" s="57">
        <v>225</v>
      </c>
      <c r="Q59" s="57">
        <v>2</v>
      </c>
      <c r="R59" s="190">
        <f t="shared" si="13"/>
        <v>399</v>
      </c>
      <c r="T59" s="57">
        <v>0</v>
      </c>
      <c r="U59" s="57">
        <v>0</v>
      </c>
      <c r="V59" s="57">
        <v>0</v>
      </c>
      <c r="W59" s="190">
        <f t="shared" si="14"/>
        <v>0</v>
      </c>
    </row>
    <row r="60" spans="1:23" ht="15" customHeight="1">
      <c r="A60" s="54">
        <v>46</v>
      </c>
      <c r="B60" s="57" t="s">
        <v>25</v>
      </c>
      <c r="C60" s="57">
        <v>1</v>
      </c>
      <c r="D60" s="57">
        <v>1</v>
      </c>
      <c r="E60" s="57">
        <v>0</v>
      </c>
      <c r="F60" s="190">
        <f t="shared" si="10"/>
        <v>2</v>
      </c>
      <c r="G60" s="57">
        <v>0</v>
      </c>
      <c r="H60" s="57">
        <v>0</v>
      </c>
      <c r="I60" s="57">
        <v>0</v>
      </c>
      <c r="J60" s="190">
        <f t="shared" si="11"/>
        <v>0</v>
      </c>
      <c r="K60" s="57">
        <v>0</v>
      </c>
      <c r="L60" s="57">
        <v>0</v>
      </c>
      <c r="M60" s="57">
        <v>0</v>
      </c>
      <c r="N60" s="190">
        <f t="shared" si="12"/>
        <v>0</v>
      </c>
      <c r="O60" s="57">
        <v>2</v>
      </c>
      <c r="P60" s="57">
        <v>2</v>
      </c>
      <c r="Q60" s="57">
        <v>0</v>
      </c>
      <c r="R60" s="190">
        <f t="shared" si="13"/>
        <v>4</v>
      </c>
      <c r="T60" s="57">
        <v>0</v>
      </c>
      <c r="U60" s="57">
        <v>0</v>
      </c>
      <c r="V60" s="57">
        <v>0</v>
      </c>
      <c r="W60" s="190">
        <f t="shared" si="14"/>
        <v>0</v>
      </c>
    </row>
    <row r="61" spans="1:23" ht="15" customHeight="1">
      <c r="A61" s="54">
        <v>47</v>
      </c>
      <c r="B61" s="57" t="s">
        <v>28</v>
      </c>
      <c r="C61" s="57">
        <v>4</v>
      </c>
      <c r="D61" s="57">
        <v>3</v>
      </c>
      <c r="E61" s="57">
        <v>0</v>
      </c>
      <c r="F61" s="190">
        <f t="shared" si="10"/>
        <v>7</v>
      </c>
      <c r="G61" s="57">
        <v>0</v>
      </c>
      <c r="H61" s="57">
        <v>0</v>
      </c>
      <c r="I61" s="57">
        <v>0</v>
      </c>
      <c r="J61" s="190">
        <f t="shared" si="11"/>
        <v>0</v>
      </c>
      <c r="K61" s="57">
        <v>0</v>
      </c>
      <c r="L61" s="57">
        <v>0</v>
      </c>
      <c r="M61" s="57">
        <v>0</v>
      </c>
      <c r="N61" s="190">
        <f t="shared" si="12"/>
        <v>0</v>
      </c>
      <c r="O61" s="57">
        <v>1</v>
      </c>
      <c r="P61" s="57">
        <v>0</v>
      </c>
      <c r="Q61" s="57">
        <v>0</v>
      </c>
      <c r="R61" s="190">
        <f t="shared" si="13"/>
        <v>1</v>
      </c>
      <c r="T61" s="57">
        <v>0</v>
      </c>
      <c r="U61" s="57">
        <v>0</v>
      </c>
      <c r="V61" s="57">
        <v>0</v>
      </c>
      <c r="W61" s="190">
        <f t="shared" si="14"/>
        <v>0</v>
      </c>
    </row>
    <row r="62" spans="1:23" s="232" customFormat="1" ht="15" customHeight="1">
      <c r="A62" s="54"/>
      <c r="B62" s="204" t="s">
        <v>123</v>
      </c>
      <c r="C62" s="164">
        <f aca="true" t="shared" si="15" ref="C62:R62">SUM(C54:C61)</f>
        <v>150</v>
      </c>
      <c r="D62" s="164">
        <f t="shared" si="15"/>
        <v>202</v>
      </c>
      <c r="E62" s="164">
        <f t="shared" si="15"/>
        <v>5</v>
      </c>
      <c r="F62" s="197">
        <f t="shared" si="15"/>
        <v>357</v>
      </c>
      <c r="G62" s="164">
        <f t="shared" si="15"/>
        <v>1</v>
      </c>
      <c r="H62" s="164">
        <f t="shared" si="15"/>
        <v>0</v>
      </c>
      <c r="I62" s="164">
        <f t="shared" si="15"/>
        <v>0</v>
      </c>
      <c r="J62" s="197">
        <f t="shared" si="15"/>
        <v>1</v>
      </c>
      <c r="K62" s="164">
        <f t="shared" si="15"/>
        <v>3</v>
      </c>
      <c r="L62" s="164">
        <f t="shared" si="15"/>
        <v>1</v>
      </c>
      <c r="M62" s="164">
        <f t="shared" si="15"/>
        <v>0</v>
      </c>
      <c r="N62" s="197">
        <f t="shared" si="15"/>
        <v>4</v>
      </c>
      <c r="O62" s="164">
        <f t="shared" si="15"/>
        <v>199</v>
      </c>
      <c r="P62" s="164">
        <f t="shared" si="15"/>
        <v>256</v>
      </c>
      <c r="Q62" s="164">
        <f t="shared" si="15"/>
        <v>13</v>
      </c>
      <c r="R62" s="197">
        <f t="shared" si="15"/>
        <v>468</v>
      </c>
      <c r="S62" s="210"/>
      <c r="T62" s="164">
        <f>SUM(T54:T61)</f>
        <v>0</v>
      </c>
      <c r="U62" s="164">
        <f>SUM(U54:U61)</f>
        <v>0</v>
      </c>
      <c r="V62" s="164">
        <f>SUM(V54:V61)</f>
        <v>0</v>
      </c>
      <c r="W62" s="197">
        <f>SUM(W54:W61)</f>
        <v>0</v>
      </c>
    </row>
    <row r="63" spans="1:23" ht="15" customHeight="1">
      <c r="A63" s="54"/>
      <c r="C63" s="57"/>
      <c r="D63" s="57"/>
      <c r="E63" s="57"/>
      <c r="F63" s="190"/>
      <c r="G63" s="57"/>
      <c r="H63" s="57"/>
      <c r="I63" s="57"/>
      <c r="J63" s="190"/>
      <c r="K63" s="57"/>
      <c r="L63" s="57"/>
      <c r="M63" s="57"/>
      <c r="N63" s="190"/>
      <c r="O63" s="57"/>
      <c r="P63" s="57"/>
      <c r="Q63" s="57"/>
      <c r="R63" s="190"/>
      <c r="T63" s="57"/>
      <c r="U63" s="57"/>
      <c r="V63" s="57"/>
      <c r="W63" s="190"/>
    </row>
    <row r="64" spans="1:23" ht="15" customHeight="1">
      <c r="A64" s="54">
        <v>48</v>
      </c>
      <c r="B64" s="57" t="s">
        <v>34</v>
      </c>
      <c r="C64" s="57">
        <v>0</v>
      </c>
      <c r="D64" s="57">
        <v>0</v>
      </c>
      <c r="E64" s="57">
        <v>0</v>
      </c>
      <c r="F64" s="190">
        <f>C64+D64+E64</f>
        <v>0</v>
      </c>
      <c r="G64" s="57">
        <v>0</v>
      </c>
      <c r="H64" s="57">
        <v>0</v>
      </c>
      <c r="I64" s="57">
        <v>0</v>
      </c>
      <c r="J64" s="190">
        <f>G64+H64+I64</f>
        <v>0</v>
      </c>
      <c r="K64" s="57">
        <v>0</v>
      </c>
      <c r="L64" s="57">
        <v>0</v>
      </c>
      <c r="M64" s="57">
        <v>0</v>
      </c>
      <c r="N64" s="190">
        <f>K64+L64+M64</f>
        <v>0</v>
      </c>
      <c r="O64" s="57">
        <v>0</v>
      </c>
      <c r="P64" s="57">
        <v>0</v>
      </c>
      <c r="Q64" s="57">
        <v>0</v>
      </c>
      <c r="R64" s="190">
        <f>O64+P64+Q64</f>
        <v>0</v>
      </c>
      <c r="T64" s="57">
        <v>0</v>
      </c>
      <c r="U64" s="57">
        <v>0</v>
      </c>
      <c r="V64" s="57">
        <v>0</v>
      </c>
      <c r="W64" s="190">
        <f>T64+U64+V64</f>
        <v>0</v>
      </c>
    </row>
    <row r="65" spans="1:23" ht="15" customHeight="1">
      <c r="A65" s="54">
        <v>49</v>
      </c>
      <c r="B65" s="57" t="s">
        <v>130</v>
      </c>
      <c r="C65" s="57">
        <v>0</v>
      </c>
      <c r="D65" s="57">
        <v>0</v>
      </c>
      <c r="E65" s="57">
        <v>0</v>
      </c>
      <c r="F65" s="190">
        <f>C65+D65+E65</f>
        <v>0</v>
      </c>
      <c r="G65" s="57">
        <v>0</v>
      </c>
      <c r="H65" s="57">
        <v>0</v>
      </c>
      <c r="I65" s="57">
        <v>0</v>
      </c>
      <c r="J65" s="190">
        <f>G65+H65+I65</f>
        <v>0</v>
      </c>
      <c r="K65" s="57">
        <v>0</v>
      </c>
      <c r="L65" s="57">
        <v>0</v>
      </c>
      <c r="M65" s="57">
        <v>0</v>
      </c>
      <c r="N65" s="190">
        <f>K65+L65+M65</f>
        <v>0</v>
      </c>
      <c r="O65" s="57">
        <v>0</v>
      </c>
      <c r="P65" s="57">
        <v>0</v>
      </c>
      <c r="Q65" s="57">
        <v>0</v>
      </c>
      <c r="R65" s="190">
        <f>O65+P65+Q65</f>
        <v>0</v>
      </c>
      <c r="T65" s="57">
        <v>0</v>
      </c>
      <c r="U65" s="57">
        <v>0</v>
      </c>
      <c r="V65" s="57">
        <v>0</v>
      </c>
      <c r="W65" s="190">
        <f>T65+U65+V65</f>
        <v>0</v>
      </c>
    </row>
    <row r="66" spans="1:23" s="232" customFormat="1" ht="15" customHeight="1">
      <c r="A66" s="203"/>
      <c r="B66" s="204" t="s">
        <v>123</v>
      </c>
      <c r="C66" s="164">
        <f aca="true" t="shared" si="16" ref="C66:I66">SUM(C64:C65)</f>
        <v>0</v>
      </c>
      <c r="D66" s="164">
        <f t="shared" si="16"/>
        <v>0</v>
      </c>
      <c r="E66" s="164">
        <f t="shared" si="16"/>
        <v>0</v>
      </c>
      <c r="F66" s="197">
        <f t="shared" si="16"/>
        <v>0</v>
      </c>
      <c r="G66" s="164">
        <f t="shared" si="16"/>
        <v>0</v>
      </c>
      <c r="H66" s="164">
        <f t="shared" si="16"/>
        <v>0</v>
      </c>
      <c r="I66" s="164">
        <f t="shared" si="16"/>
        <v>0</v>
      </c>
      <c r="J66" s="197">
        <f aca="true" t="shared" si="17" ref="J66:R66">SUM(J64:J65)</f>
        <v>0</v>
      </c>
      <c r="K66" s="164">
        <f t="shared" si="17"/>
        <v>0</v>
      </c>
      <c r="L66" s="164">
        <f t="shared" si="17"/>
        <v>0</v>
      </c>
      <c r="M66" s="164">
        <f t="shared" si="17"/>
        <v>0</v>
      </c>
      <c r="N66" s="197">
        <f t="shared" si="17"/>
        <v>0</v>
      </c>
      <c r="O66" s="164">
        <f t="shared" si="17"/>
        <v>0</v>
      </c>
      <c r="P66" s="164">
        <f t="shared" si="17"/>
        <v>0</v>
      </c>
      <c r="Q66" s="164">
        <f t="shared" si="17"/>
        <v>0</v>
      </c>
      <c r="R66" s="197">
        <f t="shared" si="17"/>
        <v>0</v>
      </c>
      <c r="S66" s="210"/>
      <c r="T66" s="164">
        <f>SUM(T64:T65)</f>
        <v>0</v>
      </c>
      <c r="U66" s="164">
        <f>SUM(U64:U65)</f>
        <v>0</v>
      </c>
      <c r="V66" s="164">
        <f>SUM(V64:V65)</f>
        <v>0</v>
      </c>
      <c r="W66" s="197">
        <f>SUM(W64:W65)</f>
        <v>0</v>
      </c>
    </row>
    <row r="67" spans="1:23" s="232" customFormat="1" ht="15" customHeight="1">
      <c r="A67" s="203"/>
      <c r="B67" s="204" t="s">
        <v>35</v>
      </c>
      <c r="C67" s="164">
        <f aca="true" t="shared" si="18" ref="C67:R67">+C48+C62+C66</f>
        <v>1071</v>
      </c>
      <c r="D67" s="164">
        <f t="shared" si="18"/>
        <v>967</v>
      </c>
      <c r="E67" s="164">
        <f t="shared" si="18"/>
        <v>206</v>
      </c>
      <c r="F67" s="197">
        <f t="shared" si="18"/>
        <v>2244</v>
      </c>
      <c r="G67" s="164">
        <f t="shared" si="18"/>
        <v>1936</v>
      </c>
      <c r="H67" s="164">
        <f t="shared" si="18"/>
        <v>1937</v>
      </c>
      <c r="I67" s="164">
        <f t="shared" si="18"/>
        <v>1060</v>
      </c>
      <c r="J67" s="197">
        <f t="shared" si="18"/>
        <v>4933</v>
      </c>
      <c r="K67" s="164">
        <f t="shared" si="18"/>
        <v>444</v>
      </c>
      <c r="L67" s="164">
        <f t="shared" si="18"/>
        <v>413</v>
      </c>
      <c r="M67" s="164">
        <f t="shared" si="18"/>
        <v>147</v>
      </c>
      <c r="N67" s="197">
        <f t="shared" si="18"/>
        <v>1004</v>
      </c>
      <c r="O67" s="164">
        <f t="shared" si="18"/>
        <v>863</v>
      </c>
      <c r="P67" s="164">
        <f t="shared" si="18"/>
        <v>804</v>
      </c>
      <c r="Q67" s="164">
        <f t="shared" si="18"/>
        <v>210</v>
      </c>
      <c r="R67" s="197">
        <f t="shared" si="18"/>
        <v>1877</v>
      </c>
      <c r="S67" s="210"/>
      <c r="T67" s="164">
        <f>+T48+T62+T66</f>
        <v>8</v>
      </c>
      <c r="U67" s="164">
        <f>+U48+U62+U66</f>
        <v>31</v>
      </c>
      <c r="V67" s="164">
        <f>+V48+V62+V66</f>
        <v>43</v>
      </c>
      <c r="W67" s="197">
        <f>+W48+W62+W66</f>
        <v>82</v>
      </c>
    </row>
    <row r="69" ht="12.75">
      <c r="K69" s="22">
        <v>5</v>
      </c>
    </row>
    <row r="70" ht="12.75">
      <c r="B70" s="201" t="s">
        <v>229</v>
      </c>
    </row>
    <row r="71" ht="12.75">
      <c r="B71" s="201" t="s">
        <v>230</v>
      </c>
    </row>
    <row r="73" ht="12.75">
      <c r="D73" s="22">
        <v>5</v>
      </c>
    </row>
  </sheetData>
  <sheetProtection/>
  <mergeCells count="10">
    <mergeCell ref="T4:W4"/>
    <mergeCell ref="T52:W52"/>
    <mergeCell ref="C4:F4"/>
    <mergeCell ref="C52:F52"/>
    <mergeCell ref="K4:N4"/>
    <mergeCell ref="O4:R4"/>
    <mergeCell ref="K52:N52"/>
    <mergeCell ref="O52:R52"/>
    <mergeCell ref="G4:J4"/>
    <mergeCell ref="G52:J52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65" r:id="rId2"/>
  <rowBreaks count="1" manualBreakCount="1">
    <brk id="48" max="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76"/>
  <sheetViews>
    <sheetView zoomScale="70" zoomScaleNormal="70" zoomScalePageLayoutView="0" workbookViewId="0" topLeftCell="F43">
      <selection activeCell="W70" sqref="W70"/>
    </sheetView>
  </sheetViews>
  <sheetFormatPr defaultColWidth="9.140625" defaultRowHeight="12.75"/>
  <cols>
    <col min="1" max="1" width="3.7109375" style="117" customWidth="1"/>
    <col min="2" max="2" width="21.00390625" style="117" bestFit="1" customWidth="1"/>
    <col min="3" max="10" width="7.57421875" style="127" customWidth="1"/>
    <col min="11" max="11" width="7.57421875" style="544" customWidth="1"/>
    <col min="12" max="23" width="7.57421875" style="127" customWidth="1"/>
    <col min="24" max="16384" width="9.140625" style="117" customWidth="1"/>
  </cols>
  <sheetData>
    <row r="1" spans="1:23" ht="18" customHeight="1">
      <c r="A1" s="119"/>
      <c r="B1" s="119"/>
      <c r="C1" s="148"/>
      <c r="D1" s="191"/>
      <c r="E1" s="191"/>
      <c r="F1" s="148"/>
      <c r="G1" s="191"/>
      <c r="H1" s="191"/>
      <c r="I1" s="148"/>
      <c r="J1" s="191"/>
      <c r="K1" s="191"/>
      <c r="L1" s="148"/>
      <c r="M1" s="191"/>
      <c r="N1" s="191"/>
      <c r="O1" s="191"/>
      <c r="P1" s="191"/>
      <c r="Q1" s="191"/>
      <c r="R1" s="191"/>
      <c r="S1" s="191"/>
      <c r="T1" s="191"/>
      <c r="U1" s="148"/>
      <c r="V1" s="191"/>
      <c r="W1" s="99"/>
    </row>
    <row r="2" spans="1:23" ht="18" customHeight="1">
      <c r="A2" s="120"/>
      <c r="B2" s="120"/>
      <c r="C2" s="148"/>
      <c r="D2" s="191"/>
      <c r="E2" s="191"/>
      <c r="F2" s="148"/>
      <c r="G2" s="191"/>
      <c r="H2" s="191"/>
      <c r="I2" s="148"/>
      <c r="J2" s="191"/>
      <c r="K2" s="191"/>
      <c r="L2" s="148"/>
      <c r="M2" s="191"/>
      <c r="N2" s="191"/>
      <c r="O2" s="191"/>
      <c r="P2" s="191"/>
      <c r="Q2" s="191"/>
      <c r="R2" s="191"/>
      <c r="S2" s="191"/>
      <c r="T2" s="191"/>
      <c r="U2" s="148"/>
      <c r="V2" s="191"/>
      <c r="W2" s="99"/>
    </row>
    <row r="3" spans="1:23" ht="18" customHeight="1">
      <c r="A3" s="119"/>
      <c r="B3" s="119"/>
      <c r="C3" s="148"/>
      <c r="D3" s="191"/>
      <c r="E3" s="191"/>
      <c r="F3" s="148"/>
      <c r="G3" s="191"/>
      <c r="H3" s="191"/>
      <c r="I3" s="148"/>
      <c r="J3" s="191"/>
      <c r="K3" s="191"/>
      <c r="L3" s="148"/>
      <c r="M3" s="191"/>
      <c r="N3" s="191"/>
      <c r="O3" s="191"/>
      <c r="P3" s="191"/>
      <c r="Q3" s="191"/>
      <c r="R3" s="191"/>
      <c r="S3" s="191"/>
      <c r="T3" s="191"/>
      <c r="U3" s="148"/>
      <c r="V3" s="191"/>
      <c r="W3" s="99"/>
    </row>
    <row r="4" spans="1:23" ht="15" customHeight="1">
      <c r="A4" s="123" t="s">
        <v>4</v>
      </c>
      <c r="B4" s="173" t="s">
        <v>5</v>
      </c>
      <c r="C4" s="672" t="s">
        <v>204</v>
      </c>
      <c r="D4" s="673"/>
      <c r="E4" s="443"/>
      <c r="F4" s="672" t="s">
        <v>205</v>
      </c>
      <c r="G4" s="673"/>
      <c r="H4" s="443"/>
      <c r="I4" s="672" t="s">
        <v>206</v>
      </c>
      <c r="J4" s="673"/>
      <c r="K4" s="443"/>
      <c r="L4" s="672" t="s">
        <v>195</v>
      </c>
      <c r="M4" s="673"/>
      <c r="N4" s="443"/>
      <c r="O4" s="679" t="s">
        <v>421</v>
      </c>
      <c r="P4" s="680"/>
      <c r="Q4" s="448"/>
      <c r="R4" s="672" t="s">
        <v>268</v>
      </c>
      <c r="S4" s="673"/>
      <c r="T4" s="443"/>
      <c r="U4" s="674" t="s">
        <v>207</v>
      </c>
      <c r="V4" s="675"/>
      <c r="W4" s="450"/>
    </row>
    <row r="5" spans="1:23" ht="12.75">
      <c r="A5" s="124"/>
      <c r="B5" s="124"/>
      <c r="C5" s="174" t="s">
        <v>266</v>
      </c>
      <c r="D5" s="444" t="s">
        <v>233</v>
      </c>
      <c r="E5" s="444" t="s">
        <v>286</v>
      </c>
      <c r="F5" s="174" t="s">
        <v>266</v>
      </c>
      <c r="G5" s="444" t="s">
        <v>233</v>
      </c>
      <c r="H5" s="444" t="s">
        <v>285</v>
      </c>
      <c r="I5" s="174" t="s">
        <v>266</v>
      </c>
      <c r="J5" s="444" t="s">
        <v>233</v>
      </c>
      <c r="K5" s="444" t="s">
        <v>285</v>
      </c>
      <c r="L5" s="174" t="s">
        <v>266</v>
      </c>
      <c r="M5" s="444" t="s">
        <v>233</v>
      </c>
      <c r="N5" s="444" t="s">
        <v>285</v>
      </c>
      <c r="O5" s="444" t="s">
        <v>266</v>
      </c>
      <c r="P5" s="444" t="s">
        <v>233</v>
      </c>
      <c r="Q5" s="444" t="s">
        <v>285</v>
      </c>
      <c r="R5" s="444" t="s">
        <v>266</v>
      </c>
      <c r="S5" s="444" t="s">
        <v>233</v>
      </c>
      <c r="T5" s="444" t="s">
        <v>285</v>
      </c>
      <c r="U5" s="174" t="s">
        <v>266</v>
      </c>
      <c r="V5" s="444" t="s">
        <v>233</v>
      </c>
      <c r="W5" s="444" t="s">
        <v>285</v>
      </c>
    </row>
    <row r="6" spans="1:23" s="386" customFormat="1" ht="13.5" customHeight="1">
      <c r="A6" s="125">
        <v>1</v>
      </c>
      <c r="B6" s="149" t="s">
        <v>7</v>
      </c>
      <c r="C6" s="149">
        <v>5677</v>
      </c>
      <c r="D6" s="405">
        <f>'TABLE-81'!F6</f>
        <v>1773</v>
      </c>
      <c r="E6" s="405">
        <f>D6/C6*100</f>
        <v>31.231284128941343</v>
      </c>
      <c r="F6" s="149">
        <v>1725</v>
      </c>
      <c r="G6" s="405">
        <f>'TABLE-81'!J6</f>
        <v>424</v>
      </c>
      <c r="H6" s="405">
        <f>G6/F6*100</f>
        <v>24.579710144927535</v>
      </c>
      <c r="I6" s="149">
        <v>2032</v>
      </c>
      <c r="J6" s="405">
        <f>'TABLE-81'!N6</f>
        <v>550</v>
      </c>
      <c r="K6" s="405">
        <f>J6/I6*100</f>
        <v>27.06692913385827</v>
      </c>
      <c r="L6" s="149">
        <v>952</v>
      </c>
      <c r="M6" s="405">
        <f>'TABLE-82'!J6</f>
        <v>319</v>
      </c>
      <c r="N6" s="405">
        <f>M6/L6*100</f>
        <v>33.508403361344534</v>
      </c>
      <c r="O6" s="467">
        <f>'TABLE-55'!K8</f>
        <v>416</v>
      </c>
      <c r="P6" s="405">
        <f>'TABLE-82'!N6</f>
        <v>124</v>
      </c>
      <c r="Q6" s="405">
        <f aca="true" t="shared" si="0" ref="Q6:Q12">P6/O6*100</f>
        <v>29.807692307692307</v>
      </c>
      <c r="R6" s="405">
        <f>'TABLE-71'!K8</f>
        <v>382</v>
      </c>
      <c r="S6" s="405">
        <f>'TABLE-82'!R6</f>
        <v>133</v>
      </c>
      <c r="T6" s="405">
        <f aca="true" t="shared" si="1" ref="T6:T12">S6/R6*100</f>
        <v>34.81675392670157</v>
      </c>
      <c r="U6" s="149">
        <v>670</v>
      </c>
      <c r="V6" s="405">
        <f>'TABLE-82'!F6</f>
        <v>329</v>
      </c>
      <c r="W6" s="546">
        <f aca="true" t="shared" si="2" ref="W6:W24">V6/U6*100</f>
        <v>49.1044776119403</v>
      </c>
    </row>
    <row r="7" spans="1:23" s="386" customFormat="1" ht="13.5" customHeight="1">
      <c r="A7" s="125">
        <v>2</v>
      </c>
      <c r="B7" s="149" t="s">
        <v>8</v>
      </c>
      <c r="C7" s="149">
        <v>89</v>
      </c>
      <c r="D7" s="405">
        <f>'TABLE-81'!F7</f>
        <v>47</v>
      </c>
      <c r="E7" s="405">
        <f aca="true" t="shared" si="3" ref="E7:E43">D7/C7*100</f>
        <v>52.80898876404494</v>
      </c>
      <c r="F7" s="149">
        <v>0</v>
      </c>
      <c r="G7" s="405">
        <f>'TABLE-81'!J7</f>
        <v>0</v>
      </c>
      <c r="H7" s="405">
        <v>0</v>
      </c>
      <c r="I7" s="149">
        <v>0</v>
      </c>
      <c r="J7" s="405">
        <f>'TABLE-81'!N7</f>
        <v>0</v>
      </c>
      <c r="K7" s="405">
        <v>0</v>
      </c>
      <c r="L7" s="149">
        <v>40</v>
      </c>
      <c r="M7" s="405">
        <f>'TABLE-82'!J7</f>
        <v>8</v>
      </c>
      <c r="N7" s="405">
        <f aca="true" t="shared" si="4" ref="N7:N48">M7/L7*100</f>
        <v>20</v>
      </c>
      <c r="O7" s="467">
        <f>'TABLE-55'!K9</f>
        <v>0</v>
      </c>
      <c r="P7" s="405">
        <f>'TABLE-82'!N7</f>
        <v>0</v>
      </c>
      <c r="Q7" s="405" t="e">
        <f t="shared" si="0"/>
        <v>#DIV/0!</v>
      </c>
      <c r="R7" s="405">
        <f>'TABLE-71'!K9</f>
        <v>0</v>
      </c>
      <c r="S7" s="405">
        <f>'TABLE-82'!R7</f>
        <v>0</v>
      </c>
      <c r="T7" s="405">
        <v>0</v>
      </c>
      <c r="U7" s="149">
        <v>9</v>
      </c>
      <c r="V7" s="405">
        <f>'TABLE-82'!F7</f>
        <v>9</v>
      </c>
      <c r="W7" s="546">
        <f t="shared" si="2"/>
        <v>100</v>
      </c>
    </row>
    <row r="8" spans="1:23" ht="13.5" customHeight="1">
      <c r="A8" s="125">
        <v>3</v>
      </c>
      <c r="B8" s="149" t="s">
        <v>9</v>
      </c>
      <c r="C8" s="149">
        <v>863</v>
      </c>
      <c r="D8" s="405">
        <f>'TABLE-81'!F8</f>
        <v>422</v>
      </c>
      <c r="E8" s="405">
        <f t="shared" si="3"/>
        <v>48.8991888760139</v>
      </c>
      <c r="F8" s="149">
        <v>994</v>
      </c>
      <c r="G8" s="405">
        <f>'TABLE-81'!J8</f>
        <v>147</v>
      </c>
      <c r="H8" s="405">
        <f>G8/F8*100</f>
        <v>14.788732394366196</v>
      </c>
      <c r="I8" s="149">
        <v>393</v>
      </c>
      <c r="J8" s="405">
        <f>'TABLE-81'!N8</f>
        <v>133</v>
      </c>
      <c r="K8" s="405">
        <f>J8/I8*100</f>
        <v>33.842239185750635</v>
      </c>
      <c r="L8" s="149">
        <v>473</v>
      </c>
      <c r="M8" s="405">
        <f>'TABLE-82'!J8</f>
        <v>79</v>
      </c>
      <c r="N8" s="405">
        <f t="shared" si="4"/>
        <v>16.701902748414376</v>
      </c>
      <c r="O8" s="467">
        <f>'TABLE-55'!K10</f>
        <v>43</v>
      </c>
      <c r="P8" s="405">
        <f>'TABLE-82'!N8</f>
        <v>15</v>
      </c>
      <c r="Q8" s="405">
        <f t="shared" si="0"/>
        <v>34.883720930232556</v>
      </c>
      <c r="R8" s="405">
        <f>'TABLE-71'!K10</f>
        <v>49</v>
      </c>
      <c r="S8" s="405">
        <f>'TABLE-82'!R8</f>
        <v>21</v>
      </c>
      <c r="T8" s="405">
        <f t="shared" si="1"/>
        <v>42.857142857142854</v>
      </c>
      <c r="U8" s="149">
        <v>383</v>
      </c>
      <c r="V8" s="405">
        <f>'TABLE-82'!F8</f>
        <v>59</v>
      </c>
      <c r="W8" s="405">
        <f t="shared" si="2"/>
        <v>15.404699738903393</v>
      </c>
    </row>
    <row r="9" spans="1:23" ht="13.5" customHeight="1">
      <c r="A9" s="125">
        <v>4</v>
      </c>
      <c r="B9" s="149" t="s">
        <v>10</v>
      </c>
      <c r="C9" s="149">
        <v>7374</v>
      </c>
      <c r="D9" s="405">
        <f>'TABLE-81'!F9</f>
        <v>2219</v>
      </c>
      <c r="E9" s="405">
        <f t="shared" si="3"/>
        <v>30.092215893680503</v>
      </c>
      <c r="F9" s="149">
        <v>2351</v>
      </c>
      <c r="G9" s="405">
        <f>'TABLE-81'!J9</f>
        <v>365</v>
      </c>
      <c r="H9" s="405">
        <f>G9/F9*100</f>
        <v>15.525308379413016</v>
      </c>
      <c r="I9" s="149">
        <v>3828</v>
      </c>
      <c r="J9" s="405">
        <f>'TABLE-81'!N9</f>
        <v>839</v>
      </c>
      <c r="K9" s="405">
        <f>J9/I9*100</f>
        <v>21.917450365726225</v>
      </c>
      <c r="L9" s="149">
        <v>2742</v>
      </c>
      <c r="M9" s="405">
        <f>'TABLE-82'!J9</f>
        <v>725</v>
      </c>
      <c r="N9" s="405">
        <f t="shared" si="4"/>
        <v>26.440554339897886</v>
      </c>
      <c r="O9" s="467">
        <f>'TABLE-55'!K11</f>
        <v>792</v>
      </c>
      <c r="P9" s="405">
        <f>'TABLE-82'!N9</f>
        <v>156</v>
      </c>
      <c r="Q9" s="405">
        <f t="shared" si="0"/>
        <v>19.696969696969695</v>
      </c>
      <c r="R9" s="405">
        <f>'TABLE-71'!K11</f>
        <v>279</v>
      </c>
      <c r="S9" s="405">
        <f>'TABLE-82'!R9</f>
        <v>122</v>
      </c>
      <c r="T9" s="405">
        <f t="shared" si="1"/>
        <v>43.727598566308245</v>
      </c>
      <c r="U9" s="149">
        <v>1735</v>
      </c>
      <c r="V9" s="405">
        <f>'TABLE-82'!F9</f>
        <v>252</v>
      </c>
      <c r="W9" s="405">
        <f t="shared" si="2"/>
        <v>14.524495677233428</v>
      </c>
    </row>
    <row r="10" spans="1:23" ht="13.5" customHeight="1">
      <c r="A10" s="125">
        <v>5</v>
      </c>
      <c r="B10" s="149" t="s">
        <v>11</v>
      </c>
      <c r="C10" s="149">
        <v>1831</v>
      </c>
      <c r="D10" s="405">
        <f>'TABLE-81'!F10</f>
        <v>803</v>
      </c>
      <c r="E10" s="405">
        <f t="shared" si="3"/>
        <v>43.85581649371928</v>
      </c>
      <c r="F10" s="149">
        <v>558</v>
      </c>
      <c r="G10" s="405">
        <f>'TABLE-81'!J10</f>
        <v>31</v>
      </c>
      <c r="H10" s="405">
        <f>G10/F10*100</f>
        <v>5.555555555555555</v>
      </c>
      <c r="I10" s="149">
        <v>1011</v>
      </c>
      <c r="J10" s="405">
        <f>'TABLE-81'!N10</f>
        <v>349</v>
      </c>
      <c r="K10" s="405">
        <f>J10/I10*100</f>
        <v>34.52027695351138</v>
      </c>
      <c r="L10" s="149">
        <v>429</v>
      </c>
      <c r="M10" s="405">
        <f>'TABLE-82'!J10</f>
        <v>153</v>
      </c>
      <c r="N10" s="405">
        <f t="shared" si="4"/>
        <v>35.66433566433567</v>
      </c>
      <c r="O10" s="467">
        <f>'TABLE-55'!K12</f>
        <v>28</v>
      </c>
      <c r="P10" s="405">
        <f>'TABLE-82'!N10</f>
        <v>17</v>
      </c>
      <c r="Q10" s="405">
        <f t="shared" si="0"/>
        <v>60.71428571428571</v>
      </c>
      <c r="R10" s="405">
        <f>'TABLE-71'!K12</f>
        <v>412</v>
      </c>
      <c r="S10" s="405">
        <f>'TABLE-82'!R10</f>
        <v>151</v>
      </c>
      <c r="T10" s="405">
        <f t="shared" si="1"/>
        <v>36.650485436893206</v>
      </c>
      <c r="U10" s="149">
        <v>132</v>
      </c>
      <c r="V10" s="405">
        <f>'TABLE-82'!F10</f>
        <v>130</v>
      </c>
      <c r="W10" s="405">
        <f t="shared" si="2"/>
        <v>98.48484848484848</v>
      </c>
    </row>
    <row r="11" spans="1:23" ht="13.5" customHeight="1">
      <c r="A11" s="125">
        <v>6</v>
      </c>
      <c r="B11" s="149" t="s">
        <v>12</v>
      </c>
      <c r="C11" s="149">
        <v>675</v>
      </c>
      <c r="D11" s="405">
        <f>'TABLE-81'!F11</f>
        <v>362</v>
      </c>
      <c r="E11" s="405">
        <f t="shared" si="3"/>
        <v>53.629629629629626</v>
      </c>
      <c r="F11" s="149">
        <v>155</v>
      </c>
      <c r="G11" s="405">
        <f>'TABLE-81'!J11</f>
        <v>30</v>
      </c>
      <c r="H11" s="405">
        <f>G11/F11*100</f>
        <v>19.35483870967742</v>
      </c>
      <c r="I11" s="149">
        <v>0</v>
      </c>
      <c r="J11" s="405">
        <f>'TABLE-81'!N11</f>
        <v>0</v>
      </c>
      <c r="K11" s="405">
        <v>0</v>
      </c>
      <c r="L11" s="149">
        <v>123</v>
      </c>
      <c r="M11" s="405">
        <f>'TABLE-82'!J11</f>
        <v>69</v>
      </c>
      <c r="N11" s="405">
        <v>0</v>
      </c>
      <c r="O11" s="467">
        <f>'TABLE-55'!K13</f>
        <v>9</v>
      </c>
      <c r="P11" s="405">
        <f>'TABLE-82'!N11</f>
        <v>7</v>
      </c>
      <c r="Q11" s="405">
        <f t="shared" si="0"/>
        <v>77.77777777777779</v>
      </c>
      <c r="R11" s="405">
        <f>'TABLE-71'!K13</f>
        <v>16</v>
      </c>
      <c r="S11" s="405">
        <f>'TABLE-82'!R11</f>
        <v>8</v>
      </c>
      <c r="T11" s="405">
        <f t="shared" si="1"/>
        <v>50</v>
      </c>
      <c r="U11" s="149">
        <v>40</v>
      </c>
      <c r="V11" s="405">
        <f>'TABLE-82'!F11</f>
        <v>10</v>
      </c>
      <c r="W11" s="405">
        <f t="shared" si="2"/>
        <v>25</v>
      </c>
    </row>
    <row r="12" spans="1:23" s="103" customFormat="1" ht="13.5" customHeight="1">
      <c r="A12" s="110">
        <v>7</v>
      </c>
      <c r="B12" s="111" t="s">
        <v>13</v>
      </c>
      <c r="C12" s="111">
        <v>9136</v>
      </c>
      <c r="D12" s="405">
        <f>'TABLE-81'!F12</f>
        <v>2287</v>
      </c>
      <c r="E12" s="405">
        <f t="shared" si="3"/>
        <v>25.032837127845887</v>
      </c>
      <c r="F12" s="111">
        <v>5317</v>
      </c>
      <c r="G12" s="405">
        <f>'TABLE-81'!J12</f>
        <v>442</v>
      </c>
      <c r="H12" s="405">
        <f>G12/F12*100</f>
        <v>8.312958435207824</v>
      </c>
      <c r="I12" s="111">
        <v>4003</v>
      </c>
      <c r="J12" s="405">
        <f>'TABLE-81'!N12</f>
        <v>473</v>
      </c>
      <c r="K12" s="405">
        <f>J12/I12*100</f>
        <v>11.816137896577567</v>
      </c>
      <c r="L12" s="111">
        <v>3413</v>
      </c>
      <c r="M12" s="405">
        <f>'TABLE-82'!J12</f>
        <v>625</v>
      </c>
      <c r="N12" s="405">
        <f t="shared" si="4"/>
        <v>18.3123351889833</v>
      </c>
      <c r="O12" s="467">
        <f>'TABLE-55'!K14</f>
        <v>616</v>
      </c>
      <c r="P12" s="405">
        <f>'TABLE-82'!N12</f>
        <v>129</v>
      </c>
      <c r="Q12" s="405">
        <f t="shared" si="0"/>
        <v>20.941558441558442</v>
      </c>
      <c r="R12" s="405">
        <f>'TABLE-71'!K14</f>
        <v>1067</v>
      </c>
      <c r="S12" s="405">
        <f>'TABLE-82'!R12</f>
        <v>250</v>
      </c>
      <c r="T12" s="405">
        <f t="shared" si="1"/>
        <v>23.430178069353328</v>
      </c>
      <c r="U12" s="111">
        <v>2131</v>
      </c>
      <c r="V12" s="405">
        <f>'TABLE-82'!F12</f>
        <v>189</v>
      </c>
      <c r="W12" s="405">
        <f t="shared" si="2"/>
        <v>8.869075551384327</v>
      </c>
    </row>
    <row r="13" spans="1:23" s="103" customFormat="1" ht="13.5" customHeight="1">
      <c r="A13" s="110">
        <v>8</v>
      </c>
      <c r="B13" s="111" t="s">
        <v>162</v>
      </c>
      <c r="C13" s="111">
        <v>0</v>
      </c>
      <c r="D13" s="405">
        <f>'TABLE-81'!F13</f>
        <v>0</v>
      </c>
      <c r="E13" s="405">
        <v>0</v>
      </c>
      <c r="F13" s="111">
        <v>0</v>
      </c>
      <c r="G13" s="405">
        <f>'TABLE-81'!J13</f>
        <v>0</v>
      </c>
      <c r="H13" s="405">
        <v>0</v>
      </c>
      <c r="I13" s="111">
        <v>1</v>
      </c>
      <c r="J13" s="405">
        <f>'TABLE-81'!N13</f>
        <v>0</v>
      </c>
      <c r="K13" s="405">
        <v>0</v>
      </c>
      <c r="L13" s="111">
        <v>36</v>
      </c>
      <c r="M13" s="405">
        <f>'TABLE-82'!J13</f>
        <v>24</v>
      </c>
      <c r="N13" s="405">
        <f t="shared" si="4"/>
        <v>66.66666666666666</v>
      </c>
      <c r="O13" s="467">
        <f>'TABLE-55'!K15</f>
        <v>1</v>
      </c>
      <c r="P13" s="405">
        <f>'TABLE-82'!N13</f>
        <v>0</v>
      </c>
      <c r="Q13" s="405">
        <v>0</v>
      </c>
      <c r="R13" s="405">
        <f>'TABLE-71'!K15</f>
        <v>0</v>
      </c>
      <c r="S13" s="405">
        <f>'TABLE-82'!R13</f>
        <v>0</v>
      </c>
      <c r="T13" s="405">
        <v>0</v>
      </c>
      <c r="U13" s="111">
        <v>0</v>
      </c>
      <c r="V13" s="405">
        <f>'TABLE-82'!F13</f>
        <v>0</v>
      </c>
      <c r="W13" s="405">
        <v>0</v>
      </c>
    </row>
    <row r="14" spans="1:23" ht="13.5" customHeight="1">
      <c r="A14" s="125">
        <v>9</v>
      </c>
      <c r="B14" s="149" t="s">
        <v>14</v>
      </c>
      <c r="C14" s="149">
        <v>994</v>
      </c>
      <c r="D14" s="405">
        <f>'TABLE-81'!F14</f>
        <v>727</v>
      </c>
      <c r="E14" s="405">
        <f t="shared" si="3"/>
        <v>73.13883299798792</v>
      </c>
      <c r="F14" s="149">
        <v>42</v>
      </c>
      <c r="G14" s="405">
        <f>'TABLE-81'!J14</f>
        <v>5</v>
      </c>
      <c r="H14" s="405">
        <f>G14/F14*100</f>
        <v>11.904761904761903</v>
      </c>
      <c r="I14" s="149">
        <v>108</v>
      </c>
      <c r="J14" s="405">
        <f>'TABLE-81'!N14</f>
        <v>26</v>
      </c>
      <c r="K14" s="405">
        <f>J14/I14*100</f>
        <v>24.074074074074073</v>
      </c>
      <c r="L14" s="149">
        <v>235</v>
      </c>
      <c r="M14" s="405">
        <f>'TABLE-82'!J14</f>
        <v>133</v>
      </c>
      <c r="N14" s="405">
        <f t="shared" si="4"/>
        <v>56.59574468085107</v>
      </c>
      <c r="O14" s="467">
        <f>'TABLE-55'!K16</f>
        <v>21</v>
      </c>
      <c r="P14" s="405">
        <f>'TABLE-82'!N14</f>
        <v>9</v>
      </c>
      <c r="Q14" s="405">
        <f>P14/O14*100</f>
        <v>42.857142857142854</v>
      </c>
      <c r="R14" s="405">
        <f>'TABLE-71'!K16</f>
        <v>49</v>
      </c>
      <c r="S14" s="405">
        <f>'TABLE-82'!R14</f>
        <v>24</v>
      </c>
      <c r="T14" s="405">
        <f>S14/R14*100</f>
        <v>48.97959183673469</v>
      </c>
      <c r="U14" s="149">
        <v>199</v>
      </c>
      <c r="V14" s="405">
        <f>'TABLE-82'!F14</f>
        <v>55</v>
      </c>
      <c r="W14" s="405">
        <f t="shared" si="2"/>
        <v>27.63819095477387</v>
      </c>
    </row>
    <row r="15" spans="1:23" ht="13.5" customHeight="1">
      <c r="A15" s="125">
        <v>10</v>
      </c>
      <c r="B15" s="149" t="s">
        <v>15</v>
      </c>
      <c r="C15" s="149">
        <v>229</v>
      </c>
      <c r="D15" s="405">
        <f>'TABLE-81'!F15</f>
        <v>115</v>
      </c>
      <c r="E15" s="405">
        <f t="shared" si="3"/>
        <v>50.21834061135371</v>
      </c>
      <c r="F15" s="149">
        <v>0</v>
      </c>
      <c r="G15" s="405">
        <f>'TABLE-81'!J15</f>
        <v>0</v>
      </c>
      <c r="H15" s="405">
        <v>0</v>
      </c>
      <c r="I15" s="149">
        <v>1</v>
      </c>
      <c r="J15" s="405">
        <f>'TABLE-81'!N15</f>
        <v>0</v>
      </c>
      <c r="K15" s="405">
        <f>J15/I15*100</f>
        <v>0</v>
      </c>
      <c r="L15" s="149">
        <v>37</v>
      </c>
      <c r="M15" s="405">
        <f>'TABLE-82'!J15</f>
        <v>18</v>
      </c>
      <c r="N15" s="405">
        <f t="shared" si="4"/>
        <v>48.64864864864865</v>
      </c>
      <c r="O15" s="467">
        <f>'TABLE-55'!K17</f>
        <v>3</v>
      </c>
      <c r="P15" s="405">
        <f>'TABLE-82'!N15</f>
        <v>1</v>
      </c>
      <c r="Q15" s="405">
        <f>P15/O15*100</f>
        <v>33.33333333333333</v>
      </c>
      <c r="R15" s="405">
        <f>'TABLE-71'!K17</f>
        <v>19</v>
      </c>
      <c r="S15" s="405">
        <f>'TABLE-82'!R15</f>
        <v>2</v>
      </c>
      <c r="T15" s="405">
        <v>0</v>
      </c>
      <c r="U15" s="149">
        <v>0</v>
      </c>
      <c r="V15" s="405">
        <f>'TABLE-82'!F15</f>
        <v>0</v>
      </c>
      <c r="W15" s="405">
        <v>0</v>
      </c>
    </row>
    <row r="16" spans="1:23" ht="13.5" customHeight="1">
      <c r="A16" s="125">
        <v>11</v>
      </c>
      <c r="B16" s="149" t="s">
        <v>16</v>
      </c>
      <c r="C16" s="149">
        <v>145</v>
      </c>
      <c r="D16" s="405">
        <f>'TABLE-81'!F16</f>
        <v>120</v>
      </c>
      <c r="E16" s="405">
        <f t="shared" si="3"/>
        <v>82.75862068965517</v>
      </c>
      <c r="F16" s="149">
        <v>0</v>
      </c>
      <c r="G16" s="405">
        <f>'TABLE-81'!J16</f>
        <v>0</v>
      </c>
      <c r="H16" s="405">
        <v>0</v>
      </c>
      <c r="I16" s="149">
        <v>0</v>
      </c>
      <c r="J16" s="405">
        <f>'TABLE-81'!N16</f>
        <v>0</v>
      </c>
      <c r="K16" s="405">
        <v>0</v>
      </c>
      <c r="L16" s="149">
        <v>35</v>
      </c>
      <c r="M16" s="405">
        <f>'TABLE-82'!J16</f>
        <v>28</v>
      </c>
      <c r="N16" s="405">
        <f t="shared" si="4"/>
        <v>80</v>
      </c>
      <c r="O16" s="467">
        <f>'TABLE-55'!K18</f>
        <v>9</v>
      </c>
      <c r="P16" s="405">
        <f>'TABLE-82'!N16</f>
        <v>7</v>
      </c>
      <c r="Q16" s="405">
        <v>0</v>
      </c>
      <c r="R16" s="405">
        <f>'TABLE-71'!K18</f>
        <v>0</v>
      </c>
      <c r="S16" s="405">
        <f>'TABLE-82'!R16</f>
        <v>0</v>
      </c>
      <c r="T16" s="405">
        <v>0</v>
      </c>
      <c r="U16" s="149">
        <v>0</v>
      </c>
      <c r="V16" s="405">
        <f>'TABLE-82'!F16</f>
        <v>0</v>
      </c>
      <c r="W16" s="405">
        <v>0</v>
      </c>
    </row>
    <row r="17" spans="1:23" ht="13.5" customHeight="1">
      <c r="A17" s="125">
        <v>12</v>
      </c>
      <c r="B17" s="149" t="s">
        <v>17</v>
      </c>
      <c r="C17" s="149">
        <v>1414</v>
      </c>
      <c r="D17" s="405">
        <f>'TABLE-81'!F17</f>
        <v>1023</v>
      </c>
      <c r="E17" s="405">
        <f t="shared" si="3"/>
        <v>72.34794908062234</v>
      </c>
      <c r="F17" s="149">
        <v>85</v>
      </c>
      <c r="G17" s="405">
        <f>'TABLE-81'!J17</f>
        <v>0</v>
      </c>
      <c r="H17" s="405">
        <f aca="true" t="shared" si="5" ref="H17:H22">G17/F17*100</f>
        <v>0</v>
      </c>
      <c r="I17" s="149">
        <v>119</v>
      </c>
      <c r="J17" s="405">
        <f>'TABLE-81'!N17</f>
        <v>0</v>
      </c>
      <c r="K17" s="405">
        <f>J17/I17*100</f>
        <v>0</v>
      </c>
      <c r="L17" s="149">
        <v>368</v>
      </c>
      <c r="M17" s="405">
        <f>'TABLE-82'!J17</f>
        <v>191</v>
      </c>
      <c r="N17" s="405">
        <f t="shared" si="4"/>
        <v>51.902173913043484</v>
      </c>
      <c r="O17" s="467">
        <f>'TABLE-55'!K19</f>
        <v>19</v>
      </c>
      <c r="P17" s="405">
        <f>'TABLE-82'!N17</f>
        <v>16</v>
      </c>
      <c r="Q17" s="405">
        <f>P17/O17*100</f>
        <v>84.21052631578947</v>
      </c>
      <c r="R17" s="405">
        <f>'TABLE-71'!K19</f>
        <v>101</v>
      </c>
      <c r="S17" s="405">
        <f>'TABLE-82'!R17</f>
        <v>58</v>
      </c>
      <c r="T17" s="405">
        <f>S17/R17*100</f>
        <v>57.42574257425742</v>
      </c>
      <c r="U17" s="149">
        <v>93</v>
      </c>
      <c r="V17" s="405">
        <f>'TABLE-82'!F17</f>
        <v>0</v>
      </c>
      <c r="W17" s="405">
        <v>0</v>
      </c>
    </row>
    <row r="18" spans="1:23" ht="13.5" customHeight="1">
      <c r="A18" s="125">
        <v>13</v>
      </c>
      <c r="B18" s="149" t="s">
        <v>164</v>
      </c>
      <c r="C18" s="149">
        <v>362</v>
      </c>
      <c r="D18" s="405">
        <f>'TABLE-81'!F18</f>
        <v>144</v>
      </c>
      <c r="E18" s="405">
        <f t="shared" si="3"/>
        <v>39.77900552486188</v>
      </c>
      <c r="F18" s="149">
        <v>0</v>
      </c>
      <c r="G18" s="405">
        <f>'TABLE-81'!J18</f>
        <v>0</v>
      </c>
      <c r="H18" s="405">
        <v>0</v>
      </c>
      <c r="I18" s="149">
        <v>45</v>
      </c>
      <c r="J18" s="405">
        <f>'TABLE-81'!N18</f>
        <v>6</v>
      </c>
      <c r="K18" s="405">
        <f>J18/I18*100</f>
        <v>13.333333333333334</v>
      </c>
      <c r="L18" s="149">
        <v>149</v>
      </c>
      <c r="M18" s="405">
        <f>'TABLE-82'!J18</f>
        <v>28</v>
      </c>
      <c r="N18" s="405">
        <f t="shared" si="4"/>
        <v>18.79194630872483</v>
      </c>
      <c r="O18" s="467">
        <f>'TABLE-55'!K20</f>
        <v>4</v>
      </c>
      <c r="P18" s="405">
        <f>'TABLE-82'!N18</f>
        <v>1</v>
      </c>
      <c r="Q18" s="405">
        <f>P18/O18*100</f>
        <v>25</v>
      </c>
      <c r="R18" s="405">
        <f>'TABLE-71'!K20</f>
        <v>73</v>
      </c>
      <c r="S18" s="405">
        <f>'TABLE-82'!R18</f>
        <v>9</v>
      </c>
      <c r="T18" s="405">
        <f>S18/R18*100</f>
        <v>12.32876712328767</v>
      </c>
      <c r="U18" s="149">
        <v>53</v>
      </c>
      <c r="V18" s="405">
        <f>'TABLE-82'!F18</f>
        <v>10</v>
      </c>
      <c r="W18" s="405">
        <f t="shared" si="2"/>
        <v>18.867924528301888</v>
      </c>
    </row>
    <row r="19" spans="1:23" ht="13.5" customHeight="1">
      <c r="A19" s="125">
        <v>14</v>
      </c>
      <c r="B19" s="149" t="s">
        <v>77</v>
      </c>
      <c r="C19" s="149">
        <v>3037</v>
      </c>
      <c r="D19" s="405">
        <f>'TABLE-81'!F19</f>
        <v>2169</v>
      </c>
      <c r="E19" s="405">
        <f t="shared" si="3"/>
        <v>71.41916364833718</v>
      </c>
      <c r="F19" s="149">
        <v>3723</v>
      </c>
      <c r="G19" s="405">
        <f>'TABLE-81'!J19</f>
        <v>319</v>
      </c>
      <c r="H19" s="405">
        <f t="shared" si="5"/>
        <v>8.56835885038947</v>
      </c>
      <c r="I19" s="149">
        <v>0</v>
      </c>
      <c r="J19" s="405">
        <f>'TABLE-81'!N19</f>
        <v>0</v>
      </c>
      <c r="K19" s="405">
        <v>0</v>
      </c>
      <c r="L19" s="149">
        <v>1029</v>
      </c>
      <c r="M19" s="405">
        <f>'TABLE-82'!J19</f>
        <v>626</v>
      </c>
      <c r="N19" s="405">
        <f t="shared" si="4"/>
        <v>60.8357628765792</v>
      </c>
      <c r="O19" s="467">
        <f>'TABLE-55'!K21</f>
        <v>31</v>
      </c>
      <c r="P19" s="405">
        <f>'TABLE-82'!N19</f>
        <v>31</v>
      </c>
      <c r="Q19" s="405">
        <v>0</v>
      </c>
      <c r="R19" s="405">
        <f>'TABLE-71'!K21</f>
        <v>242</v>
      </c>
      <c r="S19" s="405">
        <f>'TABLE-82'!R19</f>
        <v>91</v>
      </c>
      <c r="T19" s="405">
        <v>0</v>
      </c>
      <c r="U19" s="149">
        <v>499</v>
      </c>
      <c r="V19" s="405">
        <f>'TABLE-82'!F19</f>
        <v>81</v>
      </c>
      <c r="W19" s="405">
        <f t="shared" si="2"/>
        <v>16.23246492985972</v>
      </c>
    </row>
    <row r="20" spans="1:23" ht="13.5" customHeight="1">
      <c r="A20" s="125">
        <v>15</v>
      </c>
      <c r="B20" s="149" t="s">
        <v>105</v>
      </c>
      <c r="C20" s="149">
        <v>471</v>
      </c>
      <c r="D20" s="405">
        <f>'TABLE-81'!F20</f>
        <v>287</v>
      </c>
      <c r="E20" s="405">
        <f t="shared" si="3"/>
        <v>60.93418259023354</v>
      </c>
      <c r="F20" s="149">
        <v>70</v>
      </c>
      <c r="G20" s="405">
        <f>'TABLE-81'!J20</f>
        <v>8</v>
      </c>
      <c r="H20" s="405">
        <f t="shared" si="5"/>
        <v>11.428571428571429</v>
      </c>
      <c r="I20" s="149">
        <v>42</v>
      </c>
      <c r="J20" s="405">
        <f>'TABLE-81'!N20</f>
        <v>7</v>
      </c>
      <c r="K20" s="405">
        <f>J20/I20*100</f>
        <v>16.666666666666664</v>
      </c>
      <c r="L20" s="149">
        <v>79</v>
      </c>
      <c r="M20" s="405">
        <f>'TABLE-82'!J20</f>
        <v>29</v>
      </c>
      <c r="N20" s="405">
        <f t="shared" si="4"/>
        <v>36.708860759493675</v>
      </c>
      <c r="O20" s="467">
        <f>'TABLE-55'!K22</f>
        <v>3</v>
      </c>
      <c r="P20" s="405">
        <f>'TABLE-82'!N20</f>
        <v>0</v>
      </c>
      <c r="Q20" s="405">
        <v>0</v>
      </c>
      <c r="R20" s="405">
        <f>'TABLE-71'!K22</f>
        <v>3</v>
      </c>
      <c r="S20" s="405">
        <f>'TABLE-82'!R20</f>
        <v>0</v>
      </c>
      <c r="T20" s="405">
        <v>0</v>
      </c>
      <c r="U20" s="149">
        <v>0</v>
      </c>
      <c r="V20" s="405">
        <f>'TABLE-82'!F20</f>
        <v>0</v>
      </c>
      <c r="W20" s="405">
        <v>0</v>
      </c>
    </row>
    <row r="21" spans="1:23" s="103" customFormat="1" ht="13.5" customHeight="1">
      <c r="A21" s="110">
        <v>16</v>
      </c>
      <c r="B21" s="111" t="s">
        <v>20</v>
      </c>
      <c r="C21" s="111">
        <v>2614</v>
      </c>
      <c r="D21" s="405">
        <f>'TABLE-81'!F21</f>
        <v>798</v>
      </c>
      <c r="E21" s="405">
        <f t="shared" si="3"/>
        <v>30.527926549349655</v>
      </c>
      <c r="F21" s="111">
        <v>1002</v>
      </c>
      <c r="G21" s="405">
        <f>'TABLE-81'!J21</f>
        <v>55</v>
      </c>
      <c r="H21" s="405">
        <f t="shared" si="5"/>
        <v>5.489021956087824</v>
      </c>
      <c r="I21" s="111">
        <v>2043</v>
      </c>
      <c r="J21" s="405">
        <f>'TABLE-81'!N21</f>
        <v>126</v>
      </c>
      <c r="K21" s="405">
        <f>J21/I21*100</f>
        <v>6.167400881057269</v>
      </c>
      <c r="L21" s="111">
        <v>989</v>
      </c>
      <c r="M21" s="405">
        <f>'TABLE-82'!J21</f>
        <v>124</v>
      </c>
      <c r="N21" s="405">
        <f t="shared" si="4"/>
        <v>12.537917087967642</v>
      </c>
      <c r="O21" s="467">
        <f>'TABLE-55'!K23</f>
        <v>409</v>
      </c>
      <c r="P21" s="405">
        <f>'TABLE-82'!N21</f>
        <v>53</v>
      </c>
      <c r="Q21" s="405">
        <f>P21/O21*100</f>
        <v>12.95843520782396</v>
      </c>
      <c r="R21" s="405">
        <f>'TABLE-71'!K23</f>
        <v>655</v>
      </c>
      <c r="S21" s="405">
        <f>'TABLE-82'!R21</f>
        <v>161</v>
      </c>
      <c r="T21" s="405">
        <f>S21/R21*100</f>
        <v>24.580152671755727</v>
      </c>
      <c r="U21" s="111">
        <v>3965</v>
      </c>
      <c r="V21" s="405">
        <f>'TABLE-82'!F21</f>
        <v>75</v>
      </c>
      <c r="W21" s="405">
        <f t="shared" si="2"/>
        <v>1.8915510718789406</v>
      </c>
    </row>
    <row r="22" spans="1:23" ht="13.5" customHeight="1">
      <c r="A22" s="125">
        <v>17</v>
      </c>
      <c r="B22" s="149" t="s">
        <v>21</v>
      </c>
      <c r="C22" s="149">
        <v>6543</v>
      </c>
      <c r="D22" s="405">
        <f>'TABLE-81'!F22</f>
        <v>3434</v>
      </c>
      <c r="E22" s="405">
        <f t="shared" si="3"/>
        <v>52.483570227724286</v>
      </c>
      <c r="F22" s="149">
        <v>652</v>
      </c>
      <c r="G22" s="405">
        <f>'TABLE-81'!J22</f>
        <v>197</v>
      </c>
      <c r="H22" s="405">
        <f t="shared" si="5"/>
        <v>30.214723926380366</v>
      </c>
      <c r="I22" s="149">
        <v>1512</v>
      </c>
      <c r="J22" s="405">
        <f>'TABLE-81'!N22</f>
        <v>162</v>
      </c>
      <c r="K22" s="405">
        <f>J22/I22*100</f>
        <v>10.714285714285714</v>
      </c>
      <c r="L22" s="149">
        <v>1061</v>
      </c>
      <c r="M22" s="405">
        <f>'TABLE-82'!J22</f>
        <v>459</v>
      </c>
      <c r="N22" s="405">
        <f t="shared" si="4"/>
        <v>43.26107445805844</v>
      </c>
      <c r="O22" s="467">
        <f>'TABLE-55'!K24</f>
        <v>312</v>
      </c>
      <c r="P22" s="405">
        <f>'TABLE-82'!N22</f>
        <v>85</v>
      </c>
      <c r="Q22" s="405">
        <f>P22/O22*100</f>
        <v>27.24358974358974</v>
      </c>
      <c r="R22" s="405">
        <f>'TABLE-71'!K24</f>
        <v>135</v>
      </c>
      <c r="S22" s="405">
        <f>'TABLE-82'!R22</f>
        <v>35</v>
      </c>
      <c r="T22" s="405">
        <f>S22/R22*100</f>
        <v>25.925925925925924</v>
      </c>
      <c r="U22" s="149">
        <v>555</v>
      </c>
      <c r="V22" s="405">
        <f>'TABLE-82'!F22</f>
        <v>187</v>
      </c>
      <c r="W22" s="405">
        <f t="shared" si="2"/>
        <v>33.693693693693696</v>
      </c>
    </row>
    <row r="23" spans="1:23" ht="13.5" customHeight="1">
      <c r="A23" s="125">
        <v>18</v>
      </c>
      <c r="B23" s="149" t="s">
        <v>19</v>
      </c>
      <c r="C23" s="149">
        <v>0</v>
      </c>
      <c r="D23" s="405">
        <f>'TABLE-81'!F23</f>
        <v>0</v>
      </c>
      <c r="E23" s="405">
        <v>0</v>
      </c>
      <c r="F23" s="149">
        <v>0</v>
      </c>
      <c r="G23" s="405">
        <f>'TABLE-81'!J23</f>
        <v>0</v>
      </c>
      <c r="H23" s="405">
        <v>0</v>
      </c>
      <c r="I23" s="149">
        <v>0</v>
      </c>
      <c r="J23" s="405">
        <f>'TABLE-81'!N23</f>
        <v>0</v>
      </c>
      <c r="K23" s="405">
        <v>0</v>
      </c>
      <c r="L23" s="149">
        <v>4</v>
      </c>
      <c r="M23" s="405">
        <f>'TABLE-82'!J23</f>
        <v>1</v>
      </c>
      <c r="N23" s="405">
        <f t="shared" si="4"/>
        <v>25</v>
      </c>
      <c r="O23" s="467">
        <f>'TABLE-55'!K25</f>
        <v>0</v>
      </c>
      <c r="P23" s="405">
        <f>'TABLE-82'!N23</f>
        <v>0</v>
      </c>
      <c r="Q23" s="405">
        <v>0</v>
      </c>
      <c r="R23" s="405">
        <f>'TABLE-71'!K25</f>
        <v>3</v>
      </c>
      <c r="S23" s="405">
        <f>'TABLE-82'!R23</f>
        <v>0</v>
      </c>
      <c r="T23" s="405">
        <v>0</v>
      </c>
      <c r="U23" s="149">
        <v>17</v>
      </c>
      <c r="V23" s="405">
        <f>'TABLE-82'!F23</f>
        <v>17</v>
      </c>
      <c r="W23" s="405">
        <f t="shared" si="2"/>
        <v>100</v>
      </c>
    </row>
    <row r="24" spans="1:23" ht="13.5" customHeight="1">
      <c r="A24" s="125">
        <v>19</v>
      </c>
      <c r="B24" s="149" t="s">
        <v>124</v>
      </c>
      <c r="C24" s="149">
        <v>216</v>
      </c>
      <c r="D24" s="405">
        <f>'TABLE-81'!F24</f>
        <v>61</v>
      </c>
      <c r="E24" s="405">
        <f t="shared" si="3"/>
        <v>28.240740740740737</v>
      </c>
      <c r="F24" s="149">
        <v>0</v>
      </c>
      <c r="G24" s="405">
        <f>'TABLE-81'!J24</f>
        <v>0</v>
      </c>
      <c r="H24" s="405">
        <v>0</v>
      </c>
      <c r="I24" s="149">
        <v>94</v>
      </c>
      <c r="J24" s="405">
        <f>'TABLE-81'!N24</f>
        <v>3</v>
      </c>
      <c r="K24" s="405">
        <f>J24/I24*100</f>
        <v>3.1914893617021276</v>
      </c>
      <c r="L24" s="149">
        <v>4</v>
      </c>
      <c r="M24" s="405">
        <f>'TABLE-82'!J24</f>
        <v>6</v>
      </c>
      <c r="N24" s="405">
        <f t="shared" si="4"/>
        <v>150</v>
      </c>
      <c r="O24" s="467">
        <f>'TABLE-55'!K26</f>
        <v>4</v>
      </c>
      <c r="P24" s="405">
        <f>'TABLE-82'!N24</f>
        <v>5</v>
      </c>
      <c r="Q24" s="405">
        <v>0</v>
      </c>
      <c r="R24" s="405">
        <f>'TABLE-71'!K26</f>
        <v>119</v>
      </c>
      <c r="S24" s="405">
        <f>'TABLE-82'!R24</f>
        <v>5</v>
      </c>
      <c r="T24" s="405">
        <v>0</v>
      </c>
      <c r="U24" s="149">
        <v>31</v>
      </c>
      <c r="V24" s="405">
        <f>'TABLE-82'!F24</f>
        <v>26</v>
      </c>
      <c r="W24" s="405">
        <f t="shared" si="2"/>
        <v>83.87096774193549</v>
      </c>
    </row>
    <row r="25" spans="1:23" s="2" customFormat="1" ht="13.5" customHeight="1">
      <c r="A25" s="175"/>
      <c r="B25" s="121" t="s">
        <v>224</v>
      </c>
      <c r="C25" s="121">
        <f>SUM(C6:C24)</f>
        <v>41670</v>
      </c>
      <c r="D25" s="249">
        <f aca="true" t="shared" si="6" ref="D25:V25">SUM(D6:D24)</f>
        <v>16791</v>
      </c>
      <c r="E25" s="249">
        <f>D25/C25*100</f>
        <v>40.29517638588913</v>
      </c>
      <c r="F25" s="121">
        <f t="shared" si="6"/>
        <v>16674</v>
      </c>
      <c r="G25" s="249">
        <f t="shared" si="6"/>
        <v>2023</v>
      </c>
      <c r="H25" s="249">
        <f>G25/F25*100</f>
        <v>12.132661628883291</v>
      </c>
      <c r="I25" s="121">
        <f t="shared" si="6"/>
        <v>15232</v>
      </c>
      <c r="J25" s="249">
        <f t="shared" si="6"/>
        <v>2674</v>
      </c>
      <c r="K25" s="249">
        <f>J25/I25*100</f>
        <v>17.55514705882353</v>
      </c>
      <c r="L25" s="121">
        <f t="shared" si="6"/>
        <v>12198</v>
      </c>
      <c r="M25" s="249">
        <f t="shared" si="6"/>
        <v>3645</v>
      </c>
      <c r="N25" s="249">
        <f t="shared" si="4"/>
        <v>29.88194786030497</v>
      </c>
      <c r="O25" s="249">
        <f t="shared" si="6"/>
        <v>2720</v>
      </c>
      <c r="P25" s="249">
        <f t="shared" si="6"/>
        <v>656</v>
      </c>
      <c r="Q25" s="249">
        <f>P25/O25*100</f>
        <v>24.11764705882353</v>
      </c>
      <c r="R25" s="249">
        <f>SUM(R6:R24)</f>
        <v>3604</v>
      </c>
      <c r="S25" s="249">
        <f t="shared" si="6"/>
        <v>1070</v>
      </c>
      <c r="T25" s="249">
        <f>S25/R25*100</f>
        <v>29.689234184239734</v>
      </c>
      <c r="U25" s="121">
        <f t="shared" si="6"/>
        <v>10512</v>
      </c>
      <c r="V25" s="249">
        <f t="shared" si="6"/>
        <v>1429</v>
      </c>
      <c r="W25" s="249">
        <f>V25/U25*100</f>
        <v>13.593987823439878</v>
      </c>
    </row>
    <row r="26" spans="1:23" ht="13.5" customHeight="1">
      <c r="A26" s="54">
        <v>20</v>
      </c>
      <c r="B26" s="149" t="s">
        <v>23</v>
      </c>
      <c r="C26" s="149">
        <v>0</v>
      </c>
      <c r="D26" s="405">
        <f>'TABLE-81'!F26</f>
        <v>0</v>
      </c>
      <c r="E26" s="405">
        <v>0</v>
      </c>
      <c r="F26" s="149">
        <v>0</v>
      </c>
      <c r="G26" s="405">
        <f>'TABLE-81'!J26</f>
        <v>0</v>
      </c>
      <c r="H26" s="405">
        <v>0</v>
      </c>
      <c r="I26" s="149">
        <v>0</v>
      </c>
      <c r="J26" s="405">
        <f>'TABLE-81'!N26</f>
        <v>0</v>
      </c>
      <c r="K26" s="405">
        <v>0</v>
      </c>
      <c r="L26" s="149">
        <v>4</v>
      </c>
      <c r="M26" s="405">
        <f>'TABLE-82'!J26</f>
        <v>3</v>
      </c>
      <c r="N26" s="405">
        <f t="shared" si="4"/>
        <v>75</v>
      </c>
      <c r="O26" s="467">
        <f>'TABLE-55'!K28</f>
        <v>0</v>
      </c>
      <c r="P26" s="405">
        <f>'TABLE-82'!N26</f>
        <v>0</v>
      </c>
      <c r="Q26" s="405">
        <v>0</v>
      </c>
      <c r="R26" s="405">
        <f>'TABLE-71'!K28</f>
        <v>0</v>
      </c>
      <c r="S26" s="405">
        <f>'TABLE-82'!R26</f>
        <v>0</v>
      </c>
      <c r="T26" s="405">
        <v>0</v>
      </c>
      <c r="U26" s="149">
        <v>0</v>
      </c>
      <c r="V26" s="405">
        <f>'TABLE-82'!F26</f>
        <v>0</v>
      </c>
      <c r="W26" s="405">
        <v>0</v>
      </c>
    </row>
    <row r="27" spans="1:24" ht="13.5" customHeight="1">
      <c r="A27" s="54">
        <v>21</v>
      </c>
      <c r="B27" s="149" t="s">
        <v>269</v>
      </c>
      <c r="C27" s="149">
        <v>0</v>
      </c>
      <c r="D27" s="405">
        <f>'TABLE-81'!F27</f>
        <v>0</v>
      </c>
      <c r="E27" s="405">
        <v>0</v>
      </c>
      <c r="F27" s="149">
        <v>0</v>
      </c>
      <c r="G27" s="405">
        <f>'TABLE-81'!J27</f>
        <v>0</v>
      </c>
      <c r="H27" s="405">
        <v>0</v>
      </c>
      <c r="I27" s="149">
        <v>0</v>
      </c>
      <c r="J27" s="405">
        <f>'TABLE-81'!N27</f>
        <v>0</v>
      </c>
      <c r="K27" s="405">
        <v>0</v>
      </c>
      <c r="L27" s="149">
        <v>2</v>
      </c>
      <c r="M27" s="405">
        <f>'TABLE-82'!J27</f>
        <v>0</v>
      </c>
      <c r="N27" s="405">
        <f t="shared" si="4"/>
        <v>0</v>
      </c>
      <c r="O27" s="467">
        <f>'TABLE-55'!K29</f>
        <v>0</v>
      </c>
      <c r="P27" s="405">
        <f>'TABLE-82'!N27</f>
        <v>0</v>
      </c>
      <c r="Q27" s="405">
        <v>0</v>
      </c>
      <c r="R27" s="405">
        <f>'TABLE-71'!K29</f>
        <v>0</v>
      </c>
      <c r="S27" s="405">
        <f>'TABLE-82'!R27</f>
        <v>0</v>
      </c>
      <c r="T27" s="405">
        <v>0</v>
      </c>
      <c r="U27" s="149">
        <v>0</v>
      </c>
      <c r="V27" s="405">
        <f>'TABLE-82'!F27</f>
        <v>0</v>
      </c>
      <c r="W27" s="405">
        <v>0</v>
      </c>
      <c r="X27" s="545"/>
    </row>
    <row r="28" spans="1:23" ht="13.5" customHeight="1">
      <c r="A28" s="54">
        <v>22</v>
      </c>
      <c r="B28" s="149" t="s">
        <v>169</v>
      </c>
      <c r="C28" s="149">
        <v>97</v>
      </c>
      <c r="D28" s="405">
        <f>'TABLE-81'!F28</f>
        <v>18</v>
      </c>
      <c r="E28" s="405">
        <v>0</v>
      </c>
      <c r="F28" s="149">
        <v>0</v>
      </c>
      <c r="G28" s="405">
        <f>'TABLE-81'!J28</f>
        <v>0</v>
      </c>
      <c r="H28" s="405">
        <v>0</v>
      </c>
      <c r="I28" s="149">
        <v>21</v>
      </c>
      <c r="J28" s="405">
        <f>'TABLE-81'!N28</f>
        <v>12</v>
      </c>
      <c r="K28" s="405">
        <f>J28/I28*100</f>
        <v>57.14285714285714</v>
      </c>
      <c r="L28" s="149">
        <v>5</v>
      </c>
      <c r="M28" s="405">
        <f>'TABLE-82'!J28</f>
        <v>0</v>
      </c>
      <c r="N28" s="405">
        <f t="shared" si="4"/>
        <v>0</v>
      </c>
      <c r="O28" s="467">
        <f>'TABLE-55'!K30</f>
        <v>8</v>
      </c>
      <c r="P28" s="405">
        <f>'TABLE-82'!N28</f>
        <v>0</v>
      </c>
      <c r="Q28" s="405">
        <v>0</v>
      </c>
      <c r="R28" s="405">
        <f>'TABLE-71'!K30</f>
        <v>0</v>
      </c>
      <c r="S28" s="405">
        <f>'TABLE-82'!R28</f>
        <v>0</v>
      </c>
      <c r="T28" s="405">
        <v>0</v>
      </c>
      <c r="U28" s="149">
        <v>0</v>
      </c>
      <c r="V28" s="405">
        <f>'TABLE-82'!F28</f>
        <v>10</v>
      </c>
      <c r="W28" s="405">
        <v>0</v>
      </c>
    </row>
    <row r="29" spans="1:23" ht="13.5" customHeight="1">
      <c r="A29" s="54">
        <v>23</v>
      </c>
      <c r="B29" s="149" t="s">
        <v>22</v>
      </c>
      <c r="C29" s="149">
        <v>0</v>
      </c>
      <c r="D29" s="405">
        <f>'TABLE-81'!F29</f>
        <v>0</v>
      </c>
      <c r="E29" s="405">
        <v>0</v>
      </c>
      <c r="F29" s="149">
        <v>0</v>
      </c>
      <c r="G29" s="405">
        <f>'TABLE-81'!J29</f>
        <v>0</v>
      </c>
      <c r="H29" s="405">
        <v>0</v>
      </c>
      <c r="I29" s="149">
        <v>0</v>
      </c>
      <c r="J29" s="405">
        <f>'TABLE-81'!N29</f>
        <v>0</v>
      </c>
      <c r="K29" s="405">
        <v>0</v>
      </c>
      <c r="L29" s="149">
        <v>19</v>
      </c>
      <c r="M29" s="405">
        <f>'TABLE-82'!J29</f>
        <v>16</v>
      </c>
      <c r="N29" s="405">
        <f t="shared" si="4"/>
        <v>84.21052631578947</v>
      </c>
      <c r="O29" s="467">
        <f>'TABLE-55'!K31</f>
        <v>4</v>
      </c>
      <c r="P29" s="405">
        <f>'TABLE-82'!N29</f>
        <v>3</v>
      </c>
      <c r="Q29" s="405">
        <f>P29/O29*100</f>
        <v>75</v>
      </c>
      <c r="R29" s="405">
        <f>'TABLE-71'!K31</f>
        <v>16</v>
      </c>
      <c r="S29" s="405">
        <f>'TABLE-82'!R29</f>
        <v>13</v>
      </c>
      <c r="T29" s="405">
        <f>S29/R29*100</f>
        <v>81.25</v>
      </c>
      <c r="U29" s="149">
        <v>6</v>
      </c>
      <c r="V29" s="405">
        <f>'TABLE-82'!F29</f>
        <v>0</v>
      </c>
      <c r="W29" s="405">
        <f>V29/U29*100</f>
        <v>0</v>
      </c>
    </row>
    <row r="30" spans="1:23" s="103" customFormat="1" ht="13.5" customHeight="1">
      <c r="A30" s="54">
        <v>24</v>
      </c>
      <c r="B30" s="111" t="s">
        <v>141</v>
      </c>
      <c r="C30" s="111">
        <v>101</v>
      </c>
      <c r="D30" s="405">
        <f>'TABLE-81'!F30</f>
        <v>34</v>
      </c>
      <c r="E30" s="405">
        <f t="shared" si="3"/>
        <v>33.663366336633665</v>
      </c>
      <c r="F30" s="111">
        <v>0</v>
      </c>
      <c r="G30" s="405">
        <f>'TABLE-81'!J30</f>
        <v>0</v>
      </c>
      <c r="H30" s="405">
        <v>0</v>
      </c>
      <c r="I30" s="111">
        <v>0</v>
      </c>
      <c r="J30" s="405">
        <f>'TABLE-81'!N30</f>
        <v>0</v>
      </c>
      <c r="K30" s="405">
        <v>0</v>
      </c>
      <c r="L30" s="111">
        <v>28</v>
      </c>
      <c r="M30" s="405">
        <f>'TABLE-82'!J30</f>
        <v>6</v>
      </c>
      <c r="N30" s="405">
        <f t="shared" si="4"/>
        <v>21.428571428571427</v>
      </c>
      <c r="O30" s="467">
        <f>'TABLE-55'!K32</f>
        <v>2</v>
      </c>
      <c r="P30" s="405">
        <f>'TABLE-82'!N30</f>
        <v>1</v>
      </c>
      <c r="Q30" s="405">
        <v>0</v>
      </c>
      <c r="R30" s="405">
        <f>'TABLE-71'!K32</f>
        <v>12</v>
      </c>
      <c r="S30" s="405">
        <f>'TABLE-82'!R30</f>
        <v>6</v>
      </c>
      <c r="T30" s="405">
        <f>S30/R30*100</f>
        <v>50</v>
      </c>
      <c r="U30" s="111">
        <v>0</v>
      </c>
      <c r="V30" s="405">
        <f>'TABLE-82'!F30</f>
        <v>0</v>
      </c>
      <c r="W30" s="405">
        <v>0</v>
      </c>
    </row>
    <row r="31" spans="1:23" ht="13.5" customHeight="1">
      <c r="A31" s="54">
        <v>25</v>
      </c>
      <c r="B31" s="149" t="s">
        <v>18</v>
      </c>
      <c r="C31" s="149">
        <v>10067</v>
      </c>
      <c r="D31" s="405">
        <f>'TABLE-81'!F31</f>
        <v>4187</v>
      </c>
      <c r="E31" s="405">
        <f t="shared" si="3"/>
        <v>41.5913380351644</v>
      </c>
      <c r="F31" s="149">
        <v>3989</v>
      </c>
      <c r="G31" s="405">
        <f>'TABLE-81'!J31</f>
        <v>682</v>
      </c>
      <c r="H31" s="405">
        <f>G31/F31*100</f>
        <v>17.09701679618952</v>
      </c>
      <c r="I31" s="149">
        <v>7323</v>
      </c>
      <c r="J31" s="405">
        <f>'TABLE-81'!N31</f>
        <v>1245</v>
      </c>
      <c r="K31" s="405">
        <f>J31/I31*100</f>
        <v>17.00122900450635</v>
      </c>
      <c r="L31" s="149">
        <v>2577</v>
      </c>
      <c r="M31" s="405">
        <f>'TABLE-82'!J31</f>
        <v>1053</v>
      </c>
      <c r="N31" s="405">
        <f t="shared" si="4"/>
        <v>40.86146682188591</v>
      </c>
      <c r="O31" s="467">
        <f>'TABLE-55'!K33</f>
        <v>128</v>
      </c>
      <c r="P31" s="405">
        <f>'TABLE-82'!N31</f>
        <v>261</v>
      </c>
      <c r="Q31" s="405">
        <f>P31/O31*100</f>
        <v>203.90625</v>
      </c>
      <c r="R31" s="405">
        <f>'TABLE-71'!K33</f>
        <v>714</v>
      </c>
      <c r="S31" s="405">
        <f>'TABLE-82'!R31</f>
        <v>289</v>
      </c>
      <c r="T31" s="405">
        <f>S31/R31*100</f>
        <v>40.476190476190474</v>
      </c>
      <c r="U31" s="149">
        <v>3086</v>
      </c>
      <c r="V31" s="405">
        <f>'TABLE-82'!F31</f>
        <v>394</v>
      </c>
      <c r="W31" s="405">
        <f>V31/U31*100</f>
        <v>12.767336357744652</v>
      </c>
    </row>
    <row r="32" spans="1:23" ht="13.5" customHeight="1">
      <c r="A32" s="54">
        <v>26</v>
      </c>
      <c r="B32" s="149" t="s">
        <v>104</v>
      </c>
      <c r="C32" s="149">
        <v>9581</v>
      </c>
      <c r="D32" s="405">
        <f>'TABLE-81'!F32</f>
        <v>981</v>
      </c>
      <c r="E32" s="405">
        <f t="shared" si="3"/>
        <v>10.239014716626658</v>
      </c>
      <c r="F32" s="149">
        <v>2307</v>
      </c>
      <c r="G32" s="405">
        <f>'TABLE-81'!J32</f>
        <v>315</v>
      </c>
      <c r="H32" s="405">
        <f>G32/F32*100</f>
        <v>13.654096228868662</v>
      </c>
      <c r="I32" s="149">
        <v>3076</v>
      </c>
      <c r="J32" s="405">
        <f>'TABLE-81'!N32</f>
        <v>334</v>
      </c>
      <c r="K32" s="405">
        <f>J32/I32*100</f>
        <v>10.858257477243173</v>
      </c>
      <c r="L32" s="149">
        <v>3197</v>
      </c>
      <c r="M32" s="405">
        <f>'TABLE-82'!J32</f>
        <v>174</v>
      </c>
      <c r="N32" s="405">
        <f t="shared" si="4"/>
        <v>5.442602439787301</v>
      </c>
      <c r="O32" s="467">
        <f>'TABLE-55'!K34</f>
        <v>661</v>
      </c>
      <c r="P32" s="405">
        <f>'TABLE-82'!N32</f>
        <v>66</v>
      </c>
      <c r="Q32" s="405">
        <f>P32/O32*100</f>
        <v>9.984871406959153</v>
      </c>
      <c r="R32" s="405">
        <f>'TABLE-71'!K34</f>
        <v>1929</v>
      </c>
      <c r="S32" s="405">
        <f>'TABLE-82'!R32</f>
        <v>26</v>
      </c>
      <c r="T32" s="405">
        <f>S32/R32*100</f>
        <v>1.347848626231208</v>
      </c>
      <c r="U32" s="149">
        <v>1458</v>
      </c>
      <c r="V32" s="405">
        <f>'TABLE-82'!F32</f>
        <v>54</v>
      </c>
      <c r="W32" s="405">
        <f>V32/U32*100</f>
        <v>3.7037037037037033</v>
      </c>
    </row>
    <row r="33" spans="1:23" s="2" customFormat="1" ht="13.5" customHeight="1">
      <c r="A33" s="122"/>
      <c r="B33" s="150" t="s">
        <v>226</v>
      </c>
      <c r="C33" s="150">
        <f>SUM(C26:C32)</f>
        <v>19846</v>
      </c>
      <c r="D33" s="406">
        <f aca="true" t="shared" si="7" ref="D33:V33">SUM(D26:D32)</f>
        <v>5220</v>
      </c>
      <c r="E33" s="406">
        <f>D33/C33*100</f>
        <v>26.30252947697269</v>
      </c>
      <c r="F33" s="150">
        <f t="shared" si="7"/>
        <v>6296</v>
      </c>
      <c r="G33" s="406">
        <f t="shared" si="7"/>
        <v>997</v>
      </c>
      <c r="H33" s="406">
        <f>G33/F33*100</f>
        <v>15.835451080050825</v>
      </c>
      <c r="I33" s="150">
        <f t="shared" si="7"/>
        <v>10420</v>
      </c>
      <c r="J33" s="406">
        <f t="shared" si="7"/>
        <v>1591</v>
      </c>
      <c r="K33" s="406">
        <f>J33/I33*100</f>
        <v>15.268714011516316</v>
      </c>
      <c r="L33" s="150">
        <f t="shared" si="7"/>
        <v>5832</v>
      </c>
      <c r="M33" s="406">
        <f t="shared" si="7"/>
        <v>1252</v>
      </c>
      <c r="N33" s="406">
        <f t="shared" si="4"/>
        <v>21.467764060356654</v>
      </c>
      <c r="O33" s="406">
        <f t="shared" si="7"/>
        <v>803</v>
      </c>
      <c r="P33" s="406">
        <f t="shared" si="7"/>
        <v>331</v>
      </c>
      <c r="Q33" s="406">
        <f>P33/O33*100</f>
        <v>41.220423412204234</v>
      </c>
      <c r="R33" s="406">
        <f t="shared" si="7"/>
        <v>2671</v>
      </c>
      <c r="S33" s="406">
        <f t="shared" si="7"/>
        <v>334</v>
      </c>
      <c r="T33" s="406">
        <f>S33/R33*100</f>
        <v>12.504679895170348</v>
      </c>
      <c r="U33" s="150">
        <f t="shared" si="7"/>
        <v>4550</v>
      </c>
      <c r="V33" s="406">
        <f t="shared" si="7"/>
        <v>458</v>
      </c>
      <c r="W33" s="406">
        <f>V33/U33*100</f>
        <v>10.065934065934066</v>
      </c>
    </row>
    <row r="34" spans="1:23" ht="13.5" customHeight="1">
      <c r="A34" s="54">
        <v>27</v>
      </c>
      <c r="B34" s="149" t="s">
        <v>163</v>
      </c>
      <c r="C34" s="149">
        <v>96</v>
      </c>
      <c r="D34" s="405">
        <f>'TABLE-81'!F34</f>
        <v>62</v>
      </c>
      <c r="E34" s="405">
        <f t="shared" si="3"/>
        <v>64.58333333333334</v>
      </c>
      <c r="F34" s="149">
        <v>30</v>
      </c>
      <c r="G34" s="405">
        <f>'TABLE-81'!J34</f>
        <v>8</v>
      </c>
      <c r="H34" s="405">
        <f>G34/F34*100</f>
        <v>26.666666666666668</v>
      </c>
      <c r="I34" s="149">
        <v>0</v>
      </c>
      <c r="J34" s="405">
        <f>'TABLE-81'!N34</f>
        <v>0</v>
      </c>
      <c r="K34" s="405">
        <v>0</v>
      </c>
      <c r="L34" s="149">
        <v>48</v>
      </c>
      <c r="M34" s="405">
        <f>'TABLE-82'!J34</f>
        <v>0</v>
      </c>
      <c r="N34" s="405">
        <f t="shared" si="4"/>
        <v>0</v>
      </c>
      <c r="O34" s="467">
        <f>'TABLE-55'!K36</f>
        <v>0</v>
      </c>
      <c r="P34" s="405">
        <f>'TABLE-82'!N34</f>
        <v>12</v>
      </c>
      <c r="Q34" s="405">
        <v>0</v>
      </c>
      <c r="R34" s="405">
        <f>'TABLE-71'!K36</f>
        <v>0</v>
      </c>
      <c r="S34" s="405">
        <f>'TABLE-82'!R34</f>
        <v>0</v>
      </c>
      <c r="T34" s="405">
        <v>0</v>
      </c>
      <c r="U34" s="149">
        <v>0</v>
      </c>
      <c r="V34" s="405">
        <v>0</v>
      </c>
      <c r="W34" s="405">
        <v>0</v>
      </c>
    </row>
    <row r="35" spans="1:23" s="103" customFormat="1" ht="13.5" customHeight="1">
      <c r="A35" s="54">
        <v>28</v>
      </c>
      <c r="B35" s="111" t="s">
        <v>231</v>
      </c>
      <c r="C35" s="111">
        <v>0</v>
      </c>
      <c r="D35" s="405">
        <f>'TABLE-81'!F35</f>
        <v>0</v>
      </c>
      <c r="E35" s="405">
        <v>0</v>
      </c>
      <c r="F35" s="111">
        <v>0</v>
      </c>
      <c r="G35" s="405">
        <f>'TABLE-81'!J35</f>
        <v>0</v>
      </c>
      <c r="H35" s="405">
        <v>0</v>
      </c>
      <c r="I35" s="111">
        <v>0</v>
      </c>
      <c r="J35" s="405">
        <f>'TABLE-81'!N35</f>
        <v>0</v>
      </c>
      <c r="K35" s="405">
        <v>0</v>
      </c>
      <c r="L35" s="111">
        <v>0</v>
      </c>
      <c r="M35" s="405">
        <f>'TABLE-82'!J35</f>
        <v>0</v>
      </c>
      <c r="N35" s="405">
        <v>0</v>
      </c>
      <c r="O35" s="467">
        <f>'TABLE-55'!K37</f>
        <v>0</v>
      </c>
      <c r="P35" s="405">
        <f>'TABLE-82'!N35</f>
        <v>0</v>
      </c>
      <c r="Q35" s="405">
        <v>0</v>
      </c>
      <c r="R35" s="405">
        <f>'TABLE-71'!K37</f>
        <v>0</v>
      </c>
      <c r="S35" s="405">
        <f>'TABLE-82'!R35</f>
        <v>0</v>
      </c>
      <c r="T35" s="405">
        <v>0</v>
      </c>
      <c r="U35" s="111">
        <v>0</v>
      </c>
      <c r="V35" s="405">
        <f>'TABLE-82'!F35</f>
        <v>0</v>
      </c>
      <c r="W35" s="405">
        <v>0</v>
      </c>
    </row>
    <row r="36" spans="1:23" ht="13.5" customHeight="1">
      <c r="A36" s="54">
        <v>29</v>
      </c>
      <c r="B36" s="149" t="s">
        <v>218</v>
      </c>
      <c r="C36" s="149">
        <v>0</v>
      </c>
      <c r="D36" s="405">
        <f>'TABLE-81'!F36</f>
        <v>0</v>
      </c>
      <c r="E36" s="405">
        <v>0</v>
      </c>
      <c r="F36" s="149">
        <v>0</v>
      </c>
      <c r="G36" s="405">
        <f>'TABLE-81'!J36</f>
        <v>0</v>
      </c>
      <c r="H36" s="405">
        <v>0</v>
      </c>
      <c r="I36" s="149">
        <v>0</v>
      </c>
      <c r="J36" s="405">
        <f>'TABLE-81'!N36</f>
        <v>0</v>
      </c>
      <c r="K36" s="405">
        <v>0</v>
      </c>
      <c r="L36" s="149">
        <v>0</v>
      </c>
      <c r="M36" s="405">
        <f>'TABLE-82'!J36</f>
        <v>0</v>
      </c>
      <c r="N36" s="405">
        <v>0</v>
      </c>
      <c r="O36" s="467">
        <f>'TABLE-55'!K38</f>
        <v>0</v>
      </c>
      <c r="P36" s="405">
        <f>'TABLE-82'!N36</f>
        <v>0</v>
      </c>
      <c r="Q36" s="405">
        <v>0</v>
      </c>
      <c r="R36" s="405">
        <f>'TABLE-71'!K38</f>
        <v>0</v>
      </c>
      <c r="S36" s="405">
        <f>'TABLE-82'!R36</f>
        <v>0</v>
      </c>
      <c r="T36" s="405">
        <v>0</v>
      </c>
      <c r="U36" s="149">
        <v>0</v>
      </c>
      <c r="V36" s="405">
        <f>'TABLE-82'!F36</f>
        <v>0</v>
      </c>
      <c r="W36" s="405">
        <v>0</v>
      </c>
    </row>
    <row r="37" spans="1:23" ht="13.5" customHeight="1">
      <c r="A37" s="54">
        <v>30</v>
      </c>
      <c r="B37" s="149" t="s">
        <v>236</v>
      </c>
      <c r="C37" s="149">
        <v>72</v>
      </c>
      <c r="D37" s="405">
        <f>'TABLE-81'!F37</f>
        <v>44</v>
      </c>
      <c r="E37" s="405">
        <v>0</v>
      </c>
      <c r="F37" s="149">
        <v>70</v>
      </c>
      <c r="G37" s="405">
        <f>'TABLE-81'!J37</f>
        <v>45</v>
      </c>
      <c r="H37" s="405">
        <v>0</v>
      </c>
      <c r="I37" s="149">
        <v>0</v>
      </c>
      <c r="J37" s="405">
        <f>'TABLE-81'!N37</f>
        <v>0</v>
      </c>
      <c r="K37" s="405">
        <v>0</v>
      </c>
      <c r="L37" s="149">
        <v>28</v>
      </c>
      <c r="M37" s="405">
        <f>'TABLE-82'!J37</f>
        <v>11</v>
      </c>
      <c r="N37" s="405">
        <f t="shared" si="4"/>
        <v>39.285714285714285</v>
      </c>
      <c r="O37" s="467">
        <f>'TABLE-55'!K39</f>
        <v>0</v>
      </c>
      <c r="P37" s="405">
        <f>'TABLE-82'!N37</f>
        <v>0</v>
      </c>
      <c r="Q37" s="405">
        <v>0</v>
      </c>
      <c r="R37" s="405">
        <f>'TABLE-71'!K39</f>
        <v>8</v>
      </c>
      <c r="S37" s="405">
        <f>'TABLE-82'!R37</f>
        <v>3</v>
      </c>
      <c r="T37" s="405">
        <v>0</v>
      </c>
      <c r="U37" s="149">
        <v>0</v>
      </c>
      <c r="V37" s="405">
        <f>'TABLE-82'!F37</f>
        <v>0</v>
      </c>
      <c r="W37" s="405">
        <v>0</v>
      </c>
    </row>
    <row r="38" spans="1:23" s="103" customFormat="1" ht="13.5" customHeight="1">
      <c r="A38" s="54">
        <v>31</v>
      </c>
      <c r="B38" s="111" t="s">
        <v>219</v>
      </c>
      <c r="C38" s="111">
        <v>0</v>
      </c>
      <c r="D38" s="405">
        <f>'TABLE-81'!F38</f>
        <v>0</v>
      </c>
      <c r="E38" s="405">
        <v>0</v>
      </c>
      <c r="F38" s="111">
        <v>0</v>
      </c>
      <c r="G38" s="405">
        <f>'TABLE-81'!J38</f>
        <v>0</v>
      </c>
      <c r="H38" s="405">
        <v>0</v>
      </c>
      <c r="I38" s="111">
        <v>0</v>
      </c>
      <c r="J38" s="405">
        <f>'TABLE-81'!N38</f>
        <v>0</v>
      </c>
      <c r="K38" s="405">
        <v>0</v>
      </c>
      <c r="L38" s="111">
        <v>0</v>
      </c>
      <c r="M38" s="405">
        <f>'TABLE-82'!J38</f>
        <v>0</v>
      </c>
      <c r="N38" s="405">
        <v>0</v>
      </c>
      <c r="O38" s="467">
        <f>'TABLE-55'!K40</f>
        <v>0</v>
      </c>
      <c r="P38" s="405">
        <f>'TABLE-82'!N38</f>
        <v>0</v>
      </c>
      <c r="Q38" s="405">
        <v>0</v>
      </c>
      <c r="R38" s="405">
        <f>'TABLE-71'!K40</f>
        <v>0</v>
      </c>
      <c r="S38" s="405">
        <f>'TABLE-82'!R38</f>
        <v>0</v>
      </c>
      <c r="T38" s="405">
        <v>0</v>
      </c>
      <c r="U38" s="111">
        <v>0</v>
      </c>
      <c r="V38" s="405">
        <f>'TABLE-82'!F38</f>
        <v>0</v>
      </c>
      <c r="W38" s="405">
        <v>0</v>
      </c>
    </row>
    <row r="39" spans="1:23" ht="13.5" customHeight="1">
      <c r="A39" s="54">
        <v>32</v>
      </c>
      <c r="B39" s="149" t="s">
        <v>220</v>
      </c>
      <c r="C39" s="149">
        <v>0</v>
      </c>
      <c r="D39" s="405">
        <f>'TABLE-81'!F39</f>
        <v>0</v>
      </c>
      <c r="E39" s="405">
        <v>0</v>
      </c>
      <c r="F39" s="149">
        <v>0</v>
      </c>
      <c r="G39" s="405">
        <f>'TABLE-81'!J39</f>
        <v>0</v>
      </c>
      <c r="H39" s="405">
        <v>0</v>
      </c>
      <c r="I39" s="149">
        <v>0</v>
      </c>
      <c r="J39" s="405">
        <f>'TABLE-81'!N39</f>
        <v>0</v>
      </c>
      <c r="K39" s="405">
        <v>0</v>
      </c>
      <c r="L39" s="149">
        <v>0</v>
      </c>
      <c r="M39" s="405">
        <f>'TABLE-82'!J39</f>
        <v>0</v>
      </c>
      <c r="N39" s="405">
        <v>0</v>
      </c>
      <c r="O39" s="467">
        <f>'TABLE-55'!K41</f>
        <v>0</v>
      </c>
      <c r="P39" s="405">
        <f>'TABLE-82'!N39</f>
        <v>0</v>
      </c>
      <c r="Q39" s="405">
        <v>0</v>
      </c>
      <c r="R39" s="405">
        <f>'TABLE-71'!K41</f>
        <v>0</v>
      </c>
      <c r="S39" s="405">
        <f>'TABLE-82'!R39</f>
        <v>0</v>
      </c>
      <c r="T39" s="405">
        <v>0</v>
      </c>
      <c r="U39" s="149">
        <v>0</v>
      </c>
      <c r="V39" s="405">
        <f>'TABLE-82'!F39</f>
        <v>0</v>
      </c>
      <c r="W39" s="405">
        <v>0</v>
      </c>
    </row>
    <row r="40" spans="1:23" ht="13.5" customHeight="1">
      <c r="A40" s="110">
        <v>33</v>
      </c>
      <c r="B40" s="113" t="s">
        <v>363</v>
      </c>
      <c r="C40" s="149">
        <v>0</v>
      </c>
      <c r="D40" s="405">
        <f>'TABLE-81'!F40</f>
        <v>0</v>
      </c>
      <c r="E40" s="405">
        <v>0</v>
      </c>
      <c r="F40" s="149">
        <v>0</v>
      </c>
      <c r="G40" s="405">
        <f>'TABLE-81'!J40</f>
        <v>0</v>
      </c>
      <c r="H40" s="405">
        <v>0</v>
      </c>
      <c r="I40" s="149">
        <v>0</v>
      </c>
      <c r="J40" s="405">
        <f>'TABLE-81'!N40</f>
        <v>0</v>
      </c>
      <c r="K40" s="405">
        <v>0</v>
      </c>
      <c r="L40" s="149">
        <v>0</v>
      </c>
      <c r="M40" s="405">
        <f>'TABLE-82'!J40</f>
        <v>0</v>
      </c>
      <c r="N40" s="405">
        <v>0</v>
      </c>
      <c r="O40" s="467">
        <f>'TABLE-55'!K42</f>
        <v>0</v>
      </c>
      <c r="P40" s="405">
        <f>'TABLE-82'!N41</f>
        <v>0</v>
      </c>
      <c r="Q40" s="405">
        <v>0</v>
      </c>
      <c r="R40" s="405">
        <f>'TABLE-71'!K43</f>
        <v>0</v>
      </c>
      <c r="S40" s="405">
        <f>'TABLE-82'!R40</f>
        <v>0</v>
      </c>
      <c r="T40" s="405">
        <v>0</v>
      </c>
      <c r="U40" s="149">
        <v>0</v>
      </c>
      <c r="V40" s="405">
        <f>'TABLE-82'!F41</f>
        <v>0</v>
      </c>
      <c r="W40" s="405">
        <v>0</v>
      </c>
    </row>
    <row r="41" spans="1:23" s="103" customFormat="1" ht="13.5" customHeight="1">
      <c r="A41" s="54">
        <v>34</v>
      </c>
      <c r="B41" s="57" t="s">
        <v>242</v>
      </c>
      <c r="C41" s="111">
        <v>3</v>
      </c>
      <c r="D41" s="405">
        <f>'TABLE-81'!F41</f>
        <v>3</v>
      </c>
      <c r="E41" s="405">
        <f t="shared" si="3"/>
        <v>100</v>
      </c>
      <c r="F41" s="111">
        <v>0</v>
      </c>
      <c r="G41" s="405">
        <f>'TABLE-81'!J41</f>
        <v>0</v>
      </c>
      <c r="H41" s="405">
        <v>0</v>
      </c>
      <c r="I41" s="111">
        <v>2</v>
      </c>
      <c r="J41" s="405">
        <f>'TABLE-81'!N41</f>
        <v>2</v>
      </c>
      <c r="K41" s="405">
        <f>J41/I41*100</f>
        <v>100</v>
      </c>
      <c r="L41" s="111">
        <v>4</v>
      </c>
      <c r="M41" s="405">
        <f>'TABLE-82'!J41</f>
        <v>3</v>
      </c>
      <c r="N41" s="405">
        <f t="shared" si="4"/>
        <v>75</v>
      </c>
      <c r="O41" s="467">
        <f>'TABLE-55'!K43</f>
        <v>0</v>
      </c>
      <c r="P41" s="405">
        <f>'TABLE-82'!N41</f>
        <v>0</v>
      </c>
      <c r="Q41" s="405">
        <v>0</v>
      </c>
      <c r="R41" s="405">
        <f>'TABLE-71'!K43</f>
        <v>0</v>
      </c>
      <c r="S41" s="405">
        <f>'TABLE-82'!R41</f>
        <v>0</v>
      </c>
      <c r="T41" s="405">
        <v>0</v>
      </c>
      <c r="U41" s="111">
        <v>0</v>
      </c>
      <c r="V41" s="405">
        <f>'TABLE-82'!F41</f>
        <v>0</v>
      </c>
      <c r="W41" s="405">
        <v>0</v>
      </c>
    </row>
    <row r="42" spans="1:23" ht="13.5" customHeight="1">
      <c r="A42" s="54">
        <v>35</v>
      </c>
      <c r="B42" s="51" t="s">
        <v>256</v>
      </c>
      <c r="C42" s="149">
        <v>22</v>
      </c>
      <c r="D42" s="405">
        <f>'TABLE-81'!F42</f>
        <v>18</v>
      </c>
      <c r="E42" s="405">
        <f t="shared" si="3"/>
        <v>81.81818181818183</v>
      </c>
      <c r="F42" s="149">
        <v>0</v>
      </c>
      <c r="G42" s="405">
        <f>'TABLE-81'!J42</f>
        <v>0</v>
      </c>
      <c r="H42" s="405">
        <v>0</v>
      </c>
      <c r="I42" s="149">
        <v>0</v>
      </c>
      <c r="J42" s="405">
        <f>'TABLE-81'!N42</f>
        <v>0</v>
      </c>
      <c r="K42" s="405">
        <v>0</v>
      </c>
      <c r="L42" s="149">
        <v>6</v>
      </c>
      <c r="M42" s="405">
        <f>'TABLE-82'!J42</f>
        <v>6</v>
      </c>
      <c r="N42" s="405">
        <f t="shared" si="4"/>
        <v>100</v>
      </c>
      <c r="O42" s="467">
        <f>'TABLE-55'!K44</f>
        <v>0</v>
      </c>
      <c r="P42" s="405">
        <f>'TABLE-82'!N42</f>
        <v>0</v>
      </c>
      <c r="Q42" s="405">
        <v>0</v>
      </c>
      <c r="R42" s="405">
        <f>'TABLE-71'!K44</f>
        <v>0</v>
      </c>
      <c r="S42" s="405">
        <f>'TABLE-82'!R42</f>
        <v>0</v>
      </c>
      <c r="T42" s="405">
        <v>0</v>
      </c>
      <c r="U42" s="149">
        <v>0</v>
      </c>
      <c r="V42" s="405">
        <f>'TABLE-82'!F42</f>
        <v>0</v>
      </c>
      <c r="W42" s="405">
        <v>0</v>
      </c>
    </row>
    <row r="43" spans="1:23" ht="13.5" customHeight="1">
      <c r="A43" s="54">
        <v>36</v>
      </c>
      <c r="B43" s="51" t="s">
        <v>24</v>
      </c>
      <c r="C43" s="149">
        <v>14</v>
      </c>
      <c r="D43" s="405">
        <f>'TABLE-81'!F43</f>
        <v>13</v>
      </c>
      <c r="E43" s="405">
        <f t="shared" si="3"/>
        <v>92.85714285714286</v>
      </c>
      <c r="F43" s="149">
        <v>0</v>
      </c>
      <c r="G43" s="405">
        <f>'TABLE-81'!J43</f>
        <v>0</v>
      </c>
      <c r="H43" s="405">
        <v>0</v>
      </c>
      <c r="I43" s="149">
        <v>0</v>
      </c>
      <c r="J43" s="405">
        <f>'TABLE-81'!N43</f>
        <v>0</v>
      </c>
      <c r="K43" s="405">
        <v>0</v>
      </c>
      <c r="L43" s="149">
        <v>17</v>
      </c>
      <c r="M43" s="405">
        <f>'TABLE-82'!J43</f>
        <v>12</v>
      </c>
      <c r="N43" s="405">
        <f t="shared" si="4"/>
        <v>70.58823529411765</v>
      </c>
      <c r="O43" s="467">
        <f>'TABLE-55'!K45</f>
        <v>1</v>
      </c>
      <c r="P43" s="405">
        <f>'TABLE-82'!N43</f>
        <v>1</v>
      </c>
      <c r="Q43" s="405">
        <f>P43/O43*100</f>
        <v>100</v>
      </c>
      <c r="R43" s="405">
        <f>'TABLE-71'!K45</f>
        <v>3</v>
      </c>
      <c r="S43" s="405">
        <f>'TABLE-82'!R43</f>
        <v>2</v>
      </c>
      <c r="T43" s="405">
        <f>S43/R43*100</f>
        <v>66.66666666666666</v>
      </c>
      <c r="U43" s="149">
        <v>0</v>
      </c>
      <c r="V43" s="405">
        <f>'TABLE-82'!F43</f>
        <v>0</v>
      </c>
      <c r="W43" s="405">
        <v>0</v>
      </c>
    </row>
    <row r="44" spans="1:23" ht="13.5" customHeight="1">
      <c r="A44" s="54">
        <v>37</v>
      </c>
      <c r="B44" s="51" t="s">
        <v>223</v>
      </c>
      <c r="C44" s="149">
        <v>0</v>
      </c>
      <c r="D44" s="405">
        <f>'TABLE-81'!F44</f>
        <v>0</v>
      </c>
      <c r="E44" s="405">
        <v>0</v>
      </c>
      <c r="F44" s="149">
        <v>0</v>
      </c>
      <c r="G44" s="405">
        <f>'TABLE-81'!J44</f>
        <v>0</v>
      </c>
      <c r="H44" s="405">
        <v>0</v>
      </c>
      <c r="I44" s="149">
        <v>0</v>
      </c>
      <c r="J44" s="405">
        <f>'TABLE-81'!N44</f>
        <v>0</v>
      </c>
      <c r="K44" s="405">
        <v>0</v>
      </c>
      <c r="L44" s="149">
        <v>0</v>
      </c>
      <c r="M44" s="405">
        <f>'TABLE-82'!J44</f>
        <v>0</v>
      </c>
      <c r="N44" s="405">
        <v>0</v>
      </c>
      <c r="O44" s="467">
        <f>'TABLE-55'!K46</f>
        <v>0</v>
      </c>
      <c r="P44" s="405">
        <f>'TABLE-82'!N44</f>
        <v>0</v>
      </c>
      <c r="Q44" s="405">
        <v>0</v>
      </c>
      <c r="R44" s="405">
        <f>'TABLE-71'!K46</f>
        <v>0</v>
      </c>
      <c r="S44" s="405">
        <f>'TABLE-82'!R44</f>
        <v>0</v>
      </c>
      <c r="T44" s="405">
        <v>0</v>
      </c>
      <c r="U44" s="149">
        <v>0</v>
      </c>
      <c r="V44" s="405">
        <f>'TABLE-82'!F44</f>
        <v>0</v>
      </c>
      <c r="W44" s="405">
        <v>0</v>
      </c>
    </row>
    <row r="45" spans="1:23" ht="13.5" customHeight="1">
      <c r="A45" s="54">
        <v>38</v>
      </c>
      <c r="B45" s="51" t="s">
        <v>364</v>
      </c>
      <c r="C45" s="149">
        <v>0</v>
      </c>
      <c r="D45" s="405">
        <f>'TABLE-81'!F45</f>
        <v>0</v>
      </c>
      <c r="E45" s="405">
        <v>0</v>
      </c>
      <c r="F45" s="149">
        <v>0</v>
      </c>
      <c r="G45" s="405">
        <f>'TABLE-81'!J45</f>
        <v>0</v>
      </c>
      <c r="H45" s="405">
        <v>0</v>
      </c>
      <c r="I45" s="149">
        <v>0</v>
      </c>
      <c r="J45" s="405">
        <f>'TABLE-81'!N45</f>
        <v>0</v>
      </c>
      <c r="K45" s="405">
        <v>0</v>
      </c>
      <c r="L45" s="149">
        <v>0</v>
      </c>
      <c r="M45" s="405">
        <f>'TABLE-82'!J45</f>
        <v>0</v>
      </c>
      <c r="N45" s="405">
        <v>0</v>
      </c>
      <c r="O45" s="467">
        <f>'TABLE-55'!K47</f>
        <v>0</v>
      </c>
      <c r="P45" s="405">
        <f>'TABLE-82'!N45</f>
        <v>0</v>
      </c>
      <c r="Q45" s="405">
        <v>1</v>
      </c>
      <c r="R45" s="405">
        <f>'TABLE-71'!K47</f>
        <v>0</v>
      </c>
      <c r="S45" s="405">
        <f>'TABLE-82'!R45</f>
        <v>0</v>
      </c>
      <c r="T45" s="405">
        <v>0</v>
      </c>
      <c r="U45" s="149">
        <v>0</v>
      </c>
      <c r="V45" s="405">
        <f>'TABLE-82'!F45</f>
        <v>0</v>
      </c>
      <c r="W45" s="405">
        <v>1</v>
      </c>
    </row>
    <row r="46" spans="1:23" ht="13.5" customHeight="1">
      <c r="A46" s="54">
        <v>39</v>
      </c>
      <c r="B46" s="57" t="s">
        <v>366</v>
      </c>
      <c r="C46" s="149">
        <v>35</v>
      </c>
      <c r="D46" s="405">
        <f>'TABLE-81'!F46</f>
        <v>24</v>
      </c>
      <c r="E46" s="405">
        <f>D46/C46*100</f>
        <v>68.57142857142857</v>
      </c>
      <c r="F46" s="149">
        <v>0</v>
      </c>
      <c r="G46" s="405">
        <f>'TABLE-81'!J46</f>
        <v>0</v>
      </c>
      <c r="H46" s="405">
        <v>0</v>
      </c>
      <c r="I46" s="149">
        <v>1</v>
      </c>
      <c r="J46" s="405">
        <f>'TABLE-81'!N46</f>
        <v>0</v>
      </c>
      <c r="K46" s="405">
        <v>0</v>
      </c>
      <c r="L46" s="149">
        <v>6</v>
      </c>
      <c r="M46" s="405">
        <f>'TABLE-82'!J46</f>
        <v>3</v>
      </c>
      <c r="N46" s="405">
        <f t="shared" si="4"/>
        <v>50</v>
      </c>
      <c r="O46" s="467">
        <f>'TABLE-55'!K48</f>
        <v>0</v>
      </c>
      <c r="P46" s="405">
        <f>'TABLE-82'!N46</f>
        <v>0</v>
      </c>
      <c r="Q46" s="405">
        <v>0</v>
      </c>
      <c r="R46" s="405">
        <f>'TABLE-71'!K48</f>
        <v>0</v>
      </c>
      <c r="S46" s="405">
        <f>'TABLE-82'!R46</f>
        <v>0</v>
      </c>
      <c r="T46" s="405">
        <v>0</v>
      </c>
      <c r="U46" s="149">
        <v>0</v>
      </c>
      <c r="V46" s="405">
        <f>'TABLE-82'!F46</f>
        <v>0</v>
      </c>
      <c r="W46" s="405">
        <v>0</v>
      </c>
    </row>
    <row r="47" spans="1:23" s="2" customFormat="1" ht="13.5" customHeight="1">
      <c r="A47" s="175"/>
      <c r="B47" s="121" t="s">
        <v>225</v>
      </c>
      <c r="C47" s="121">
        <f aca="true" t="shared" si="8" ref="C47:V47">SUM(C34:C46)</f>
        <v>242</v>
      </c>
      <c r="D47" s="249">
        <f t="shared" si="8"/>
        <v>164</v>
      </c>
      <c r="E47" s="249">
        <f>D47/C47*100</f>
        <v>67.76859504132231</v>
      </c>
      <c r="F47" s="121">
        <f t="shared" si="8"/>
        <v>100</v>
      </c>
      <c r="G47" s="249">
        <f t="shared" si="8"/>
        <v>53</v>
      </c>
      <c r="H47" s="249">
        <f>G47/F47*100</f>
        <v>53</v>
      </c>
      <c r="I47" s="121">
        <f t="shared" si="8"/>
        <v>3</v>
      </c>
      <c r="J47" s="249">
        <f t="shared" si="8"/>
        <v>2</v>
      </c>
      <c r="K47" s="249">
        <f>J47/I47*100</f>
        <v>66.66666666666666</v>
      </c>
      <c r="L47" s="121">
        <f t="shared" si="8"/>
        <v>109</v>
      </c>
      <c r="M47" s="249">
        <f t="shared" si="8"/>
        <v>35</v>
      </c>
      <c r="N47" s="249">
        <f t="shared" si="4"/>
        <v>32.11009174311927</v>
      </c>
      <c r="O47" s="249">
        <f t="shared" si="8"/>
        <v>1</v>
      </c>
      <c r="P47" s="249">
        <f t="shared" si="8"/>
        <v>13</v>
      </c>
      <c r="Q47" s="249">
        <f>P47/O47*100</f>
        <v>1300</v>
      </c>
      <c r="R47" s="249">
        <f t="shared" si="8"/>
        <v>11</v>
      </c>
      <c r="S47" s="249">
        <f t="shared" si="8"/>
        <v>5</v>
      </c>
      <c r="T47" s="249">
        <f>S47/R47*100</f>
        <v>45.45454545454545</v>
      </c>
      <c r="U47" s="121">
        <f t="shared" si="8"/>
        <v>0</v>
      </c>
      <c r="V47" s="249">
        <f t="shared" si="8"/>
        <v>0</v>
      </c>
      <c r="W47" s="249">
        <v>0</v>
      </c>
    </row>
    <row r="48" spans="1:23" s="2" customFormat="1" ht="13.5" customHeight="1">
      <c r="A48" s="175"/>
      <c r="B48" s="175" t="s">
        <v>123</v>
      </c>
      <c r="C48" s="121">
        <f>C25+C33+C47</f>
        <v>61758</v>
      </c>
      <c r="D48" s="249">
        <f>D25+D33+D47</f>
        <v>22175</v>
      </c>
      <c r="E48" s="249">
        <f>D48/C48*100</f>
        <v>35.9062793484245</v>
      </c>
      <c r="F48" s="121">
        <f>F25+F33+F47</f>
        <v>23070</v>
      </c>
      <c r="G48" s="249">
        <f>G25+G33+G47</f>
        <v>3073</v>
      </c>
      <c r="H48" s="249">
        <f>G48/F48*100</f>
        <v>13.320329432162984</v>
      </c>
      <c r="I48" s="121">
        <f>I25+I33+I47</f>
        <v>25655</v>
      </c>
      <c r="J48" s="249">
        <f>J25+J33+J47</f>
        <v>4267</v>
      </c>
      <c r="K48" s="249">
        <f>J48/I48*100</f>
        <v>16.63223543168973</v>
      </c>
      <c r="L48" s="121">
        <f>L25+L33+L47</f>
        <v>18139</v>
      </c>
      <c r="M48" s="249">
        <f>M25+M33+M47</f>
        <v>4932</v>
      </c>
      <c r="N48" s="249">
        <f t="shared" si="4"/>
        <v>27.190032526600145</v>
      </c>
      <c r="O48" s="249">
        <f>O25+O33+O47</f>
        <v>3524</v>
      </c>
      <c r="P48" s="249">
        <f>P25+P33+P47</f>
        <v>1000</v>
      </c>
      <c r="Q48" s="249">
        <f>P48/O48*100</f>
        <v>28.37684449489217</v>
      </c>
      <c r="R48" s="249">
        <f>R25+R33+R47</f>
        <v>6286</v>
      </c>
      <c r="S48" s="249">
        <f>S25+S33+S47</f>
        <v>1409</v>
      </c>
      <c r="T48" s="249">
        <f>S48/R48*100</f>
        <v>22.41489023226217</v>
      </c>
      <c r="U48" s="121">
        <f>U25+U33+U47</f>
        <v>15062</v>
      </c>
      <c r="V48" s="249">
        <f>V25+V33+V47</f>
        <v>1887</v>
      </c>
      <c r="W48" s="249">
        <f>V48/U48*100</f>
        <v>12.528216704288939</v>
      </c>
    </row>
    <row r="49" spans="1:23" ht="13.5" customHeight="1">
      <c r="A49" s="171"/>
      <c r="B49" s="171"/>
      <c r="C49" s="172"/>
      <c r="D49" s="445" t="s">
        <v>36</v>
      </c>
      <c r="E49" s="445"/>
      <c r="F49" s="172"/>
      <c r="G49" s="445"/>
      <c r="H49" s="445"/>
      <c r="I49" s="172"/>
      <c r="J49" s="445"/>
      <c r="K49" s="445"/>
      <c r="L49" s="172"/>
      <c r="M49" s="445"/>
      <c r="N49" s="445"/>
      <c r="O49" s="445"/>
      <c r="P49" s="445"/>
      <c r="Q49" s="445"/>
      <c r="R49" s="445"/>
      <c r="S49" s="445"/>
      <c r="T49" s="445"/>
      <c r="U49" s="172"/>
      <c r="V49" s="445"/>
      <c r="W49" s="451"/>
    </row>
    <row r="50" spans="1:23" ht="12.75">
      <c r="A50" s="171"/>
      <c r="B50" s="171"/>
      <c r="C50" s="172"/>
      <c r="D50" s="445"/>
      <c r="E50" s="445"/>
      <c r="F50" s="172"/>
      <c r="G50" s="445"/>
      <c r="H50" s="445"/>
      <c r="I50" s="172"/>
      <c r="J50" s="445"/>
      <c r="K50" s="445"/>
      <c r="L50" s="172"/>
      <c r="M50" s="445"/>
      <c r="N50" s="445"/>
      <c r="O50" s="445"/>
      <c r="P50" s="445"/>
      <c r="Q50" s="445"/>
      <c r="R50" s="445"/>
      <c r="S50" s="445"/>
      <c r="T50" s="445"/>
      <c r="U50" s="172"/>
      <c r="V50" s="445"/>
      <c r="W50" s="451"/>
    </row>
    <row r="51" spans="1:23" ht="16.5" customHeight="1">
      <c r="A51" s="119"/>
      <c r="B51" s="119"/>
      <c r="C51" s="148"/>
      <c r="D51" s="191"/>
      <c r="E51" s="191"/>
      <c r="F51" s="148"/>
      <c r="G51" s="191"/>
      <c r="H51" s="191"/>
      <c r="I51" s="148"/>
      <c r="J51" s="191"/>
      <c r="K51" s="191"/>
      <c r="L51" s="148"/>
      <c r="M51" s="191"/>
      <c r="N51" s="191"/>
      <c r="O51" s="191"/>
      <c r="P51" s="191"/>
      <c r="Q51" s="191"/>
      <c r="R51" s="191"/>
      <c r="S51" s="191"/>
      <c r="T51" s="191"/>
      <c r="U51" s="148"/>
      <c r="V51" s="191"/>
      <c r="W51" s="99"/>
    </row>
    <row r="52" spans="1:23" ht="32.25" customHeight="1">
      <c r="A52" s="120" t="s">
        <v>4</v>
      </c>
      <c r="B52" s="120" t="s">
        <v>5</v>
      </c>
      <c r="C52" s="676" t="s">
        <v>204</v>
      </c>
      <c r="D52" s="676"/>
      <c r="E52" s="446"/>
      <c r="F52" s="676" t="s">
        <v>239</v>
      </c>
      <c r="G52" s="676"/>
      <c r="H52" s="446"/>
      <c r="I52" s="676" t="s">
        <v>239</v>
      </c>
      <c r="J52" s="676"/>
      <c r="K52" s="446"/>
      <c r="L52" s="676" t="s">
        <v>195</v>
      </c>
      <c r="M52" s="676"/>
      <c r="N52" s="446"/>
      <c r="O52" s="677" t="s">
        <v>421</v>
      </c>
      <c r="P52" s="677"/>
      <c r="Q52" s="449"/>
      <c r="R52" s="676" t="s">
        <v>268</v>
      </c>
      <c r="S52" s="676"/>
      <c r="T52" s="446"/>
      <c r="U52" s="678" t="s">
        <v>240</v>
      </c>
      <c r="V52" s="678"/>
      <c r="W52" s="99"/>
    </row>
    <row r="53" spans="1:24" ht="18" customHeight="1">
      <c r="A53" s="123" t="s">
        <v>4</v>
      </c>
      <c r="B53" s="173" t="s">
        <v>5</v>
      </c>
      <c r="C53" s="672" t="s">
        <v>204</v>
      </c>
      <c r="D53" s="673"/>
      <c r="E53" s="434"/>
      <c r="F53" s="672" t="s">
        <v>205</v>
      </c>
      <c r="G53" s="681"/>
      <c r="H53" s="443"/>
      <c r="I53" s="672" t="s">
        <v>206</v>
      </c>
      <c r="J53" s="673"/>
      <c r="K53" s="443"/>
      <c r="L53" s="672" t="s">
        <v>195</v>
      </c>
      <c r="M53" s="673"/>
      <c r="N53" s="443"/>
      <c r="O53" s="679" t="s">
        <v>421</v>
      </c>
      <c r="P53" s="680"/>
      <c r="Q53" s="448"/>
      <c r="R53" s="672" t="s">
        <v>268</v>
      </c>
      <c r="S53" s="673"/>
      <c r="T53" s="443"/>
      <c r="U53" s="674" t="s">
        <v>207</v>
      </c>
      <c r="V53" s="675"/>
      <c r="W53" s="450"/>
      <c r="X53" s="109"/>
    </row>
    <row r="54" spans="1:24" ht="18" customHeight="1">
      <c r="A54" s="124"/>
      <c r="B54" s="124"/>
      <c r="C54" s="174" t="s">
        <v>266</v>
      </c>
      <c r="D54" s="444" t="s">
        <v>233</v>
      </c>
      <c r="E54" s="444" t="s">
        <v>285</v>
      </c>
      <c r="F54" s="323" t="s">
        <v>266</v>
      </c>
      <c r="G54" s="266" t="s">
        <v>233</v>
      </c>
      <c r="H54" s="266" t="s">
        <v>286</v>
      </c>
      <c r="I54" s="174" t="s">
        <v>266</v>
      </c>
      <c r="J54" s="444" t="s">
        <v>233</v>
      </c>
      <c r="K54" s="444" t="s">
        <v>286</v>
      </c>
      <c r="L54" s="174" t="s">
        <v>266</v>
      </c>
      <c r="M54" s="444" t="s">
        <v>233</v>
      </c>
      <c r="N54" s="444" t="s">
        <v>286</v>
      </c>
      <c r="O54" s="444" t="s">
        <v>266</v>
      </c>
      <c r="P54" s="444" t="s">
        <v>233</v>
      </c>
      <c r="Q54" s="444" t="s">
        <v>285</v>
      </c>
      <c r="R54" s="444" t="s">
        <v>266</v>
      </c>
      <c r="S54" s="444" t="s">
        <v>233</v>
      </c>
      <c r="T54" s="444" t="s">
        <v>285</v>
      </c>
      <c r="U54" s="174" t="s">
        <v>266</v>
      </c>
      <c r="V54" s="444" t="s">
        <v>233</v>
      </c>
      <c r="W54" s="444" t="s">
        <v>285</v>
      </c>
      <c r="X54" s="109"/>
    </row>
    <row r="55" spans="1:24" ht="15.75" customHeight="1">
      <c r="A55" s="54">
        <v>40</v>
      </c>
      <c r="B55" s="57" t="s">
        <v>78</v>
      </c>
      <c r="C55" s="149">
        <v>0</v>
      </c>
      <c r="D55" s="405">
        <f>'TABLE-81'!F54</f>
        <v>0</v>
      </c>
      <c r="E55" s="405">
        <v>0</v>
      </c>
      <c r="F55" s="149">
        <v>166</v>
      </c>
      <c r="G55" s="405">
        <f>'TABLE-81'!J54</f>
        <v>0</v>
      </c>
      <c r="H55" s="405">
        <v>0</v>
      </c>
      <c r="I55" s="111">
        <v>2675</v>
      </c>
      <c r="J55" s="405">
        <f>'TABLE-81'!N54</f>
        <v>0</v>
      </c>
      <c r="K55" s="405">
        <v>0</v>
      </c>
      <c r="L55" s="149">
        <v>0</v>
      </c>
      <c r="M55" s="405">
        <f>'TABLE-82'!J54</f>
        <v>0</v>
      </c>
      <c r="N55" s="405">
        <v>0</v>
      </c>
      <c r="O55" s="467">
        <f>'TABLE-55'!K58</f>
        <v>0</v>
      </c>
      <c r="P55" s="405">
        <f>'TABLE-82'!N54</f>
        <v>0</v>
      </c>
      <c r="Q55" s="405">
        <v>0</v>
      </c>
      <c r="R55" s="405">
        <f>'TABLE-71'!K59</f>
        <v>75</v>
      </c>
      <c r="S55" s="405">
        <f>'TABLE-82'!R54</f>
        <v>0</v>
      </c>
      <c r="T55" s="405">
        <f>S55/R55*100</f>
        <v>0</v>
      </c>
      <c r="U55" s="149">
        <v>0</v>
      </c>
      <c r="V55" s="405">
        <f>'TABLE-82'!F54</f>
        <v>0</v>
      </c>
      <c r="W55" s="405">
        <v>0</v>
      </c>
      <c r="X55" s="109"/>
    </row>
    <row r="56" spans="1:24" ht="15.75" customHeight="1">
      <c r="A56" s="54">
        <v>41</v>
      </c>
      <c r="B56" s="57" t="s">
        <v>278</v>
      </c>
      <c r="C56" s="149">
        <v>0</v>
      </c>
      <c r="D56" s="405">
        <f>'TABLE-81'!F55</f>
        <v>0</v>
      </c>
      <c r="E56" s="405">
        <v>0</v>
      </c>
      <c r="F56" s="149">
        <v>1928</v>
      </c>
      <c r="G56" s="405">
        <f>'TABLE-81'!J55</f>
        <v>353</v>
      </c>
      <c r="H56" s="405">
        <f aca="true" t="shared" si="9" ref="H56:H68">G56/F56*100</f>
        <v>18.30912863070539</v>
      </c>
      <c r="I56" s="149">
        <v>1273</v>
      </c>
      <c r="J56" s="405">
        <f>'TABLE-81'!N55</f>
        <v>298</v>
      </c>
      <c r="K56" s="405">
        <f>J56/I56*100</f>
        <v>23.409269442262374</v>
      </c>
      <c r="L56" s="149">
        <v>0</v>
      </c>
      <c r="M56" s="405">
        <f>'TABLE-82'!J55</f>
        <v>0</v>
      </c>
      <c r="N56" s="405">
        <v>0</v>
      </c>
      <c r="O56" s="467">
        <f>'TABLE-55'!K59</f>
        <v>9</v>
      </c>
      <c r="P56" s="405">
        <f>'TABLE-82'!N55</f>
        <v>4</v>
      </c>
      <c r="Q56" s="405">
        <v>0</v>
      </c>
      <c r="R56" s="405">
        <f>'TABLE-71'!K60</f>
        <v>312</v>
      </c>
      <c r="S56" s="405">
        <f>'TABLE-82'!R55</f>
        <v>41</v>
      </c>
      <c r="T56" s="405">
        <f aca="true" t="shared" si="10" ref="T56:T68">S56/R56*100</f>
        <v>13.141025641025642</v>
      </c>
      <c r="U56" s="149">
        <v>165</v>
      </c>
      <c r="V56" s="405">
        <f>'TABLE-82'!F55</f>
        <v>34</v>
      </c>
      <c r="W56" s="405">
        <f aca="true" t="shared" si="11" ref="W56:W68">V56/U56*100</f>
        <v>20.606060606060606</v>
      </c>
      <c r="X56" s="109"/>
    </row>
    <row r="57" spans="1:24" ht="15.75" customHeight="1">
      <c r="A57" s="54">
        <v>42</v>
      </c>
      <c r="B57" s="57" t="s">
        <v>30</v>
      </c>
      <c r="C57" s="149">
        <v>0</v>
      </c>
      <c r="D57" s="405">
        <f>'TABLE-81'!F56</f>
        <v>0</v>
      </c>
      <c r="E57" s="405">
        <v>0</v>
      </c>
      <c r="F57" s="149">
        <v>173</v>
      </c>
      <c r="G57" s="405">
        <f>'TABLE-81'!J56</f>
        <v>58</v>
      </c>
      <c r="H57" s="405">
        <f t="shared" si="9"/>
        <v>33.52601156069364</v>
      </c>
      <c r="I57" s="149">
        <v>17</v>
      </c>
      <c r="J57" s="405">
        <f>'TABLE-81'!N56</f>
        <v>5</v>
      </c>
      <c r="K57" s="405">
        <v>0</v>
      </c>
      <c r="L57" s="149">
        <v>13</v>
      </c>
      <c r="M57" s="405">
        <f>'TABLE-82'!J56</f>
        <v>1</v>
      </c>
      <c r="N57" s="405">
        <v>0</v>
      </c>
      <c r="O57" s="467">
        <f>'TABLE-55'!K60</f>
        <v>0</v>
      </c>
      <c r="P57" s="405">
        <f>'TABLE-82'!N56</f>
        <v>0</v>
      </c>
      <c r="Q57" s="405">
        <v>0</v>
      </c>
      <c r="R57" s="405">
        <f>'TABLE-71'!K61</f>
        <v>0</v>
      </c>
      <c r="S57" s="405">
        <f>'TABLE-82'!R56</f>
        <v>0</v>
      </c>
      <c r="T57" s="405">
        <v>0</v>
      </c>
      <c r="U57" s="149">
        <v>14</v>
      </c>
      <c r="V57" s="405">
        <f>'TABLE-82'!F56</f>
        <v>0</v>
      </c>
      <c r="W57" s="405">
        <f t="shared" si="11"/>
        <v>0</v>
      </c>
      <c r="X57" s="109"/>
    </row>
    <row r="58" spans="1:24" ht="15.75" customHeight="1">
      <c r="A58" s="54">
        <v>43</v>
      </c>
      <c r="B58" s="57" t="s">
        <v>234</v>
      </c>
      <c r="C58" s="149">
        <v>0</v>
      </c>
      <c r="D58" s="405">
        <f>'TABLE-81'!F57</f>
        <v>0</v>
      </c>
      <c r="E58" s="405">
        <v>0</v>
      </c>
      <c r="F58" s="149">
        <v>1279</v>
      </c>
      <c r="G58" s="405">
        <f>'TABLE-81'!J57</f>
        <v>73</v>
      </c>
      <c r="H58" s="405">
        <f t="shared" si="9"/>
        <v>5.7075840500390935</v>
      </c>
      <c r="I58" s="149">
        <v>703</v>
      </c>
      <c r="J58" s="405">
        <f>'TABLE-81'!N57</f>
        <v>105</v>
      </c>
      <c r="K58" s="405">
        <f aca="true" t="shared" si="12" ref="K58:K63">J58/I58*100</f>
        <v>14.935988620199147</v>
      </c>
      <c r="L58" s="149">
        <v>0</v>
      </c>
      <c r="M58" s="405">
        <f>'TABLE-82'!J57</f>
        <v>0</v>
      </c>
      <c r="N58" s="405">
        <v>0</v>
      </c>
      <c r="O58" s="467">
        <f>'TABLE-55'!K61</f>
        <v>11</v>
      </c>
      <c r="P58" s="405">
        <f>'TABLE-82'!N57</f>
        <v>0</v>
      </c>
      <c r="Q58" s="405">
        <f>P58/O58*100</f>
        <v>0</v>
      </c>
      <c r="R58" s="405">
        <f>'TABLE-71'!K62</f>
        <v>179</v>
      </c>
      <c r="S58" s="405">
        <f>'TABLE-82'!R57</f>
        <v>23</v>
      </c>
      <c r="T58" s="405">
        <f t="shared" si="10"/>
        <v>12.849162011173185</v>
      </c>
      <c r="U58" s="149">
        <v>55</v>
      </c>
      <c r="V58" s="405">
        <f>'TABLE-82'!F57</f>
        <v>3</v>
      </c>
      <c r="W58" s="405">
        <f t="shared" si="11"/>
        <v>5.454545454545454</v>
      </c>
      <c r="X58" s="109"/>
    </row>
    <row r="59" spans="1:24" ht="15.75" customHeight="1">
      <c r="A59" s="54">
        <v>44</v>
      </c>
      <c r="B59" s="57" t="s">
        <v>29</v>
      </c>
      <c r="C59" s="149">
        <v>0</v>
      </c>
      <c r="D59" s="405">
        <f>'TABLE-81'!F58</f>
        <v>0</v>
      </c>
      <c r="E59" s="405">
        <v>0</v>
      </c>
      <c r="F59" s="149">
        <v>0</v>
      </c>
      <c r="G59" s="405">
        <f>'TABLE-81'!J58</f>
        <v>0</v>
      </c>
      <c r="H59" s="405">
        <v>0</v>
      </c>
      <c r="I59" s="149">
        <v>782</v>
      </c>
      <c r="J59" s="405">
        <f>'TABLE-81'!N58</f>
        <v>9</v>
      </c>
      <c r="K59" s="405">
        <f t="shared" si="12"/>
        <v>1.1508951406649617</v>
      </c>
      <c r="L59" s="149">
        <v>0</v>
      </c>
      <c r="M59" s="405">
        <f>'TABLE-82'!J58</f>
        <v>0</v>
      </c>
      <c r="N59" s="405">
        <v>0</v>
      </c>
      <c r="O59" s="467">
        <f>'TABLE-55'!K62</f>
        <v>0</v>
      </c>
      <c r="P59" s="405">
        <f>'TABLE-82'!N58</f>
        <v>0</v>
      </c>
      <c r="Q59" s="405">
        <v>0</v>
      </c>
      <c r="R59" s="405">
        <f>'TABLE-71'!K63</f>
        <v>68</v>
      </c>
      <c r="S59" s="405">
        <f>'TABLE-82'!R58</f>
        <v>0</v>
      </c>
      <c r="T59" s="405">
        <f t="shared" si="10"/>
        <v>0</v>
      </c>
      <c r="U59" s="149">
        <v>108</v>
      </c>
      <c r="V59" s="405">
        <f>'TABLE-82'!F58</f>
        <v>0</v>
      </c>
      <c r="W59" s="405">
        <f t="shared" si="11"/>
        <v>0</v>
      </c>
      <c r="X59" s="109"/>
    </row>
    <row r="60" spans="1:24" ht="15.75" customHeight="1">
      <c r="A60" s="54">
        <v>45</v>
      </c>
      <c r="B60" s="57" t="s">
        <v>391</v>
      </c>
      <c r="C60" s="149">
        <v>0</v>
      </c>
      <c r="D60" s="405">
        <f>'TABLE-81'!F59</f>
        <v>0</v>
      </c>
      <c r="E60" s="405">
        <v>0</v>
      </c>
      <c r="F60" s="149">
        <v>3437</v>
      </c>
      <c r="G60" s="405">
        <f>'TABLE-81'!J59</f>
        <v>547</v>
      </c>
      <c r="H60" s="405">
        <f t="shared" si="9"/>
        <v>15.915042187954612</v>
      </c>
      <c r="I60" s="149">
        <v>1664</v>
      </c>
      <c r="J60" s="405">
        <f>'TABLE-81'!N59</f>
        <v>82</v>
      </c>
      <c r="K60" s="405">
        <f t="shared" si="12"/>
        <v>4.927884615384615</v>
      </c>
      <c r="L60" s="149">
        <v>0</v>
      </c>
      <c r="M60" s="405">
        <f>'TABLE-82'!J59</f>
        <v>0</v>
      </c>
      <c r="N60" s="405">
        <v>0</v>
      </c>
      <c r="O60" s="467">
        <f>'TABLE-55'!K63</f>
        <v>0</v>
      </c>
      <c r="P60" s="405">
        <f>'TABLE-82'!N59</f>
        <v>0</v>
      </c>
      <c r="Q60" s="405">
        <v>0</v>
      </c>
      <c r="R60" s="405">
        <f>'TABLE-71'!K64</f>
        <v>713</v>
      </c>
      <c r="S60" s="405">
        <f>'TABLE-82'!R59</f>
        <v>399</v>
      </c>
      <c r="T60" s="405">
        <v>0</v>
      </c>
      <c r="U60" s="149">
        <v>1109</v>
      </c>
      <c r="V60" s="405">
        <f>'TABLE-82'!F59</f>
        <v>311</v>
      </c>
      <c r="W60" s="405">
        <f t="shared" si="11"/>
        <v>28.043282236248874</v>
      </c>
      <c r="X60" s="109"/>
    </row>
    <row r="61" spans="1:24" ht="15.75" customHeight="1">
      <c r="A61" s="54">
        <v>46</v>
      </c>
      <c r="B61" s="57" t="s">
        <v>25</v>
      </c>
      <c r="C61" s="149">
        <v>0</v>
      </c>
      <c r="D61" s="405">
        <f>'TABLE-81'!F60</f>
        <v>0</v>
      </c>
      <c r="E61" s="405">
        <v>0</v>
      </c>
      <c r="F61" s="149">
        <v>168</v>
      </c>
      <c r="G61" s="405">
        <f>'TABLE-81'!J60</f>
        <v>14</v>
      </c>
      <c r="H61" s="405">
        <f t="shared" si="9"/>
        <v>8.333333333333332</v>
      </c>
      <c r="I61" s="149">
        <v>261</v>
      </c>
      <c r="J61" s="405">
        <f>'TABLE-81'!N60</f>
        <v>88</v>
      </c>
      <c r="K61" s="405">
        <f t="shared" si="12"/>
        <v>33.71647509578544</v>
      </c>
      <c r="L61" s="149">
        <v>0</v>
      </c>
      <c r="M61" s="405">
        <f>'TABLE-82'!J60</f>
        <v>0</v>
      </c>
      <c r="N61" s="405">
        <v>0</v>
      </c>
      <c r="O61" s="467">
        <f>'TABLE-55'!K64</f>
        <v>0</v>
      </c>
      <c r="P61" s="405">
        <f>'TABLE-82'!N60</f>
        <v>0</v>
      </c>
      <c r="Q61" s="405">
        <v>0</v>
      </c>
      <c r="R61" s="405">
        <f>'TABLE-71'!K65</f>
        <v>46</v>
      </c>
      <c r="S61" s="405">
        <f>'TABLE-82'!R60</f>
        <v>4</v>
      </c>
      <c r="T61" s="405">
        <f t="shared" si="10"/>
        <v>8.695652173913043</v>
      </c>
      <c r="U61" s="149">
        <v>20</v>
      </c>
      <c r="V61" s="405">
        <f>'TABLE-82'!F60</f>
        <v>2</v>
      </c>
      <c r="W61" s="405">
        <f t="shared" si="11"/>
        <v>10</v>
      </c>
      <c r="X61" s="109"/>
    </row>
    <row r="62" spans="1:24" ht="15.75" customHeight="1">
      <c r="A62" s="54">
        <v>47</v>
      </c>
      <c r="B62" s="57" t="s">
        <v>28</v>
      </c>
      <c r="C62" s="149">
        <v>0</v>
      </c>
      <c r="D62" s="405">
        <f>'TABLE-81'!F61</f>
        <v>0</v>
      </c>
      <c r="E62" s="405">
        <v>0</v>
      </c>
      <c r="F62" s="149">
        <v>360</v>
      </c>
      <c r="G62" s="405">
        <f>'TABLE-81'!J61</f>
        <v>31</v>
      </c>
      <c r="H62" s="405">
        <f t="shared" si="9"/>
        <v>8.61111111111111</v>
      </c>
      <c r="I62" s="149">
        <v>128</v>
      </c>
      <c r="J62" s="405">
        <f>'TABLE-81'!N61</f>
        <v>9</v>
      </c>
      <c r="K62" s="405">
        <f t="shared" si="12"/>
        <v>7.03125</v>
      </c>
      <c r="L62" s="149">
        <v>0</v>
      </c>
      <c r="M62" s="405">
        <f>'TABLE-82'!J61</f>
        <v>0</v>
      </c>
      <c r="N62" s="405">
        <v>0</v>
      </c>
      <c r="O62" s="467">
        <f>'TABLE-55'!K65</f>
        <v>0</v>
      </c>
      <c r="P62" s="405">
        <f>'TABLE-82'!N61</f>
        <v>0</v>
      </c>
      <c r="Q62" s="405">
        <v>0</v>
      </c>
      <c r="R62" s="405">
        <f>'TABLE-71'!K66</f>
        <v>10</v>
      </c>
      <c r="S62" s="405">
        <f>'TABLE-82'!R61</f>
        <v>1</v>
      </c>
      <c r="T62" s="405">
        <v>0</v>
      </c>
      <c r="U62" s="149">
        <v>71</v>
      </c>
      <c r="V62" s="405">
        <f>'TABLE-82'!F61</f>
        <v>7</v>
      </c>
      <c r="W62" s="405">
        <f t="shared" si="11"/>
        <v>9.859154929577464</v>
      </c>
      <c r="X62" s="109"/>
    </row>
    <row r="63" spans="1:23" s="2" customFormat="1" ht="15.75" customHeight="1">
      <c r="A63" s="54"/>
      <c r="B63" s="175" t="s">
        <v>123</v>
      </c>
      <c r="C63" s="121">
        <f>SUM(C55:C62)</f>
        <v>0</v>
      </c>
      <c r="D63" s="249">
        <f>SUM(D55:D62)</f>
        <v>0</v>
      </c>
      <c r="E63" s="249">
        <v>0</v>
      </c>
      <c r="F63" s="121">
        <f>SUM(F55:F62)</f>
        <v>7511</v>
      </c>
      <c r="G63" s="249">
        <f>SUM(G55:G62)</f>
        <v>1076</v>
      </c>
      <c r="H63" s="249">
        <f t="shared" si="9"/>
        <v>14.325655704966051</v>
      </c>
      <c r="I63" s="121">
        <f>SUM(I55:I62)</f>
        <v>7503</v>
      </c>
      <c r="J63" s="249">
        <f>SUM(J55:J62)</f>
        <v>596</v>
      </c>
      <c r="K63" s="249">
        <f t="shared" si="12"/>
        <v>7.943489270958283</v>
      </c>
      <c r="L63" s="121">
        <f>SUM(L55:L62)</f>
        <v>13</v>
      </c>
      <c r="M63" s="249">
        <f>SUM(M55:M62)</f>
        <v>1</v>
      </c>
      <c r="N63" s="249">
        <v>0</v>
      </c>
      <c r="O63" s="249">
        <f>SUM(O55:O62)</f>
        <v>20</v>
      </c>
      <c r="P63" s="249">
        <f>SUM(P55:P62)</f>
        <v>4</v>
      </c>
      <c r="Q63" s="249">
        <f>P63/O63*100</f>
        <v>20</v>
      </c>
      <c r="R63" s="249">
        <f>SUM(R55:R62)</f>
        <v>1403</v>
      </c>
      <c r="S63" s="249">
        <f>SUM(S55:S62)</f>
        <v>468</v>
      </c>
      <c r="T63" s="249">
        <f t="shared" si="10"/>
        <v>33.35709194583036</v>
      </c>
      <c r="U63" s="121">
        <f>SUM(U55:U62)</f>
        <v>1542</v>
      </c>
      <c r="V63" s="249">
        <f>SUM(V55:V62)</f>
        <v>357</v>
      </c>
      <c r="W63" s="249">
        <f t="shared" si="11"/>
        <v>23.151750972762645</v>
      </c>
    </row>
    <row r="64" spans="1:24" ht="15.75" customHeight="1">
      <c r="A64" s="54"/>
      <c r="B64" s="378"/>
      <c r="C64" s="149"/>
      <c r="D64" s="405" t="s">
        <v>36</v>
      </c>
      <c r="E64" s="405" t="s">
        <v>36</v>
      </c>
      <c r="F64" s="149"/>
      <c r="G64" s="405" t="s">
        <v>36</v>
      </c>
      <c r="H64" s="405" t="s">
        <v>36</v>
      </c>
      <c r="I64" s="149"/>
      <c r="J64" s="405" t="s">
        <v>36</v>
      </c>
      <c r="K64" s="405" t="s">
        <v>36</v>
      </c>
      <c r="L64" s="149"/>
      <c r="M64" s="405" t="s">
        <v>36</v>
      </c>
      <c r="N64" s="405" t="s">
        <v>36</v>
      </c>
      <c r="O64" s="405"/>
      <c r="P64" s="405" t="s">
        <v>36</v>
      </c>
      <c r="Q64" s="405" t="s">
        <v>36</v>
      </c>
      <c r="R64" s="405"/>
      <c r="S64" s="405">
        <f>'TABLE-82'!R63</f>
        <v>0</v>
      </c>
      <c r="T64" s="405" t="s">
        <v>36</v>
      </c>
      <c r="U64" s="149"/>
      <c r="V64" s="405">
        <f>'TABLE-82'!F63</f>
        <v>0</v>
      </c>
      <c r="W64" s="405" t="s">
        <v>36</v>
      </c>
      <c r="X64" s="109"/>
    </row>
    <row r="65" spans="1:24" ht="15.75" customHeight="1">
      <c r="A65" s="54">
        <v>48</v>
      </c>
      <c r="B65" s="149" t="s">
        <v>34</v>
      </c>
      <c r="C65" s="149">
        <v>0</v>
      </c>
      <c r="D65" s="405">
        <f>'TABLE-81'!F64</f>
        <v>0</v>
      </c>
      <c r="E65" s="405">
        <v>0</v>
      </c>
      <c r="F65" s="149">
        <v>0</v>
      </c>
      <c r="G65" s="405">
        <f>'TABLE-81'!J64</f>
        <v>0</v>
      </c>
      <c r="H65" s="405">
        <v>0</v>
      </c>
      <c r="I65" s="149">
        <v>0</v>
      </c>
      <c r="J65" s="405">
        <f>'TABLE-81'!N64</f>
        <v>0</v>
      </c>
      <c r="K65" s="405">
        <v>0</v>
      </c>
      <c r="L65" s="149">
        <v>0</v>
      </c>
      <c r="M65" s="405">
        <f>'TABLE-82'!J64</f>
        <v>0</v>
      </c>
      <c r="N65" s="405">
        <v>0</v>
      </c>
      <c r="O65" s="467">
        <f>'TABLE-55'!K68</f>
        <v>0</v>
      </c>
      <c r="P65" s="405">
        <f>'TABLE-82'!N64</f>
        <v>0</v>
      </c>
      <c r="Q65" s="405">
        <v>0</v>
      </c>
      <c r="R65" s="405">
        <f>'TABLE-71'!K69</f>
        <v>0</v>
      </c>
      <c r="S65" s="405">
        <f>'TABLE-82'!R64</f>
        <v>0</v>
      </c>
      <c r="T65" s="405">
        <v>0</v>
      </c>
      <c r="U65" s="149">
        <v>0</v>
      </c>
      <c r="V65" s="405">
        <f>'TABLE-82'!F64</f>
        <v>0</v>
      </c>
      <c r="W65" s="405">
        <v>0</v>
      </c>
      <c r="X65" s="109"/>
    </row>
    <row r="66" spans="1:24" ht="15.75" customHeight="1">
      <c r="A66" s="54">
        <v>49</v>
      </c>
      <c r="B66" s="149" t="s">
        <v>130</v>
      </c>
      <c r="C66" s="149">
        <v>0</v>
      </c>
      <c r="D66" s="405">
        <f>'TABLE-81'!F65</f>
        <v>0</v>
      </c>
      <c r="E66" s="405">
        <v>0</v>
      </c>
      <c r="F66" s="149">
        <v>0</v>
      </c>
      <c r="G66" s="405">
        <f>'TABLE-81'!J65</f>
        <v>0</v>
      </c>
      <c r="H66" s="405">
        <v>0</v>
      </c>
      <c r="I66" s="149">
        <v>0</v>
      </c>
      <c r="J66" s="405">
        <f>'TABLE-81'!N65</f>
        <v>0</v>
      </c>
      <c r="K66" s="405">
        <v>0</v>
      </c>
      <c r="L66" s="149">
        <v>0</v>
      </c>
      <c r="M66" s="405">
        <f>'TABLE-82'!J65</f>
        <v>0</v>
      </c>
      <c r="N66" s="405">
        <v>0</v>
      </c>
      <c r="O66" s="467">
        <f>'TABLE-55'!K69</f>
        <v>0</v>
      </c>
      <c r="P66" s="405">
        <f>'TABLE-82'!N65</f>
        <v>0</v>
      </c>
      <c r="Q66" s="405">
        <v>0</v>
      </c>
      <c r="R66" s="405">
        <f>'TABLE-71'!K70</f>
        <v>0</v>
      </c>
      <c r="S66" s="405">
        <f>'TABLE-82'!R65</f>
        <v>0</v>
      </c>
      <c r="T66" s="405">
        <v>0</v>
      </c>
      <c r="U66" s="149">
        <v>0</v>
      </c>
      <c r="V66" s="405">
        <f>'TABLE-82'!F65</f>
        <v>0</v>
      </c>
      <c r="W66" s="405">
        <v>0</v>
      </c>
      <c r="X66" s="109"/>
    </row>
    <row r="67" spans="1:23" s="2" customFormat="1" ht="15.75" customHeight="1">
      <c r="A67" s="175"/>
      <c r="B67" s="175" t="s">
        <v>123</v>
      </c>
      <c r="C67" s="121">
        <f>SUM(C65:C66)</f>
        <v>0</v>
      </c>
      <c r="D67" s="249">
        <f aca="true" t="shared" si="13" ref="D67:V67">SUM(D65:D66)</f>
        <v>0</v>
      </c>
      <c r="E67" s="249">
        <v>0</v>
      </c>
      <c r="F67" s="121">
        <f t="shared" si="13"/>
        <v>0</v>
      </c>
      <c r="G67" s="249">
        <f t="shared" si="13"/>
        <v>0</v>
      </c>
      <c r="H67" s="249">
        <v>0</v>
      </c>
      <c r="I67" s="121">
        <f t="shared" si="13"/>
        <v>0</v>
      </c>
      <c r="J67" s="249">
        <f t="shared" si="13"/>
        <v>0</v>
      </c>
      <c r="K67" s="249">
        <v>0</v>
      </c>
      <c r="L67" s="121">
        <f t="shared" si="13"/>
        <v>0</v>
      </c>
      <c r="M67" s="249">
        <f t="shared" si="13"/>
        <v>0</v>
      </c>
      <c r="N67" s="249">
        <v>0</v>
      </c>
      <c r="O67" s="249">
        <f t="shared" si="13"/>
        <v>0</v>
      </c>
      <c r="P67" s="249">
        <f t="shared" si="13"/>
        <v>0</v>
      </c>
      <c r="Q67" s="249">
        <v>0</v>
      </c>
      <c r="R67" s="249">
        <f t="shared" si="13"/>
        <v>0</v>
      </c>
      <c r="S67" s="249">
        <f t="shared" si="13"/>
        <v>0</v>
      </c>
      <c r="T67" s="249">
        <v>0</v>
      </c>
      <c r="U67" s="121">
        <f t="shared" si="13"/>
        <v>0</v>
      </c>
      <c r="V67" s="249">
        <f t="shared" si="13"/>
        <v>0</v>
      </c>
      <c r="W67" s="249">
        <v>0</v>
      </c>
    </row>
    <row r="68" spans="1:23" s="2" customFormat="1" ht="15.75" customHeight="1">
      <c r="A68" s="175"/>
      <c r="B68" s="175" t="s">
        <v>35</v>
      </c>
      <c r="C68" s="121">
        <f>C48+C63+C67</f>
        <v>61758</v>
      </c>
      <c r="D68" s="249">
        <f>D48+D63+D67</f>
        <v>22175</v>
      </c>
      <c r="E68" s="249">
        <f>D68/C68*100</f>
        <v>35.9062793484245</v>
      </c>
      <c r="F68" s="121">
        <f>F48+F63+F67</f>
        <v>30581</v>
      </c>
      <c r="G68" s="249">
        <f>G48+G63+G67</f>
        <v>4149</v>
      </c>
      <c r="H68" s="249">
        <f t="shared" si="9"/>
        <v>13.567247637421929</v>
      </c>
      <c r="I68" s="121">
        <f>I48+I63+I67</f>
        <v>33158</v>
      </c>
      <c r="J68" s="249">
        <f>J48+J63+J67</f>
        <v>4863</v>
      </c>
      <c r="K68" s="249">
        <f>J68/I68*100</f>
        <v>14.666143917003438</v>
      </c>
      <c r="L68" s="121">
        <f>L48+L63+L67</f>
        <v>18152</v>
      </c>
      <c r="M68" s="249">
        <f>M48+M63+M67</f>
        <v>4933</v>
      </c>
      <c r="N68" s="249">
        <f>M68/L68*100</f>
        <v>27.176068752754517</v>
      </c>
      <c r="O68" s="249">
        <f>O48+O63+O67</f>
        <v>3544</v>
      </c>
      <c r="P68" s="249">
        <f>P48+P63+P67</f>
        <v>1004</v>
      </c>
      <c r="Q68" s="249">
        <f>P68/O68*100</f>
        <v>28.329571106094807</v>
      </c>
      <c r="R68" s="249">
        <f>R48+R63+R67</f>
        <v>7689</v>
      </c>
      <c r="S68" s="249">
        <f>S48+S63+S67</f>
        <v>1877</v>
      </c>
      <c r="T68" s="249">
        <f t="shared" si="10"/>
        <v>24.411496943685783</v>
      </c>
      <c r="U68" s="121">
        <f>U48+U63+U67</f>
        <v>16604</v>
      </c>
      <c r="V68" s="249">
        <f>V48+V63+V67</f>
        <v>2244</v>
      </c>
      <c r="W68" s="249">
        <f t="shared" si="11"/>
        <v>13.514815707058538</v>
      </c>
    </row>
    <row r="69" spans="1:23" s="2" customFormat="1" ht="15.75" customHeight="1">
      <c r="A69" s="175"/>
      <c r="B69" s="175"/>
      <c r="C69" s="121"/>
      <c r="D69" s="249"/>
      <c r="E69" s="249"/>
      <c r="F69" s="121"/>
      <c r="G69" s="249"/>
      <c r="H69" s="249"/>
      <c r="I69" s="121"/>
      <c r="J69" s="249"/>
      <c r="K69" s="249"/>
      <c r="L69" s="121"/>
      <c r="M69" s="249"/>
      <c r="N69" s="249"/>
      <c r="O69" s="249"/>
      <c r="P69" s="249"/>
      <c r="Q69" s="249"/>
      <c r="R69" s="249"/>
      <c r="S69" s="249"/>
      <c r="T69" s="249"/>
      <c r="U69" s="121"/>
      <c r="V69" s="249"/>
      <c r="W69" s="413"/>
    </row>
    <row r="70" spans="1:23" s="2" customFormat="1" ht="15.75" customHeight="1">
      <c r="A70" s="175"/>
      <c r="B70" s="175" t="s">
        <v>270</v>
      </c>
      <c r="C70" s="121"/>
      <c r="E70" s="249">
        <f>(D68/C68)*100</f>
        <v>35.9062793484245</v>
      </c>
      <c r="F70" s="121"/>
      <c r="H70" s="249">
        <f>(G68/F68)*100</f>
        <v>13.567247637421929</v>
      </c>
      <c r="I70" s="121"/>
      <c r="K70" s="249">
        <f>(J68/I68)*100</f>
        <v>14.666143917003438</v>
      </c>
      <c r="L70" s="121"/>
      <c r="N70" s="249">
        <f>(M68/L68)*100</f>
        <v>27.176068752754517</v>
      </c>
      <c r="O70" s="249"/>
      <c r="Q70" s="249">
        <f>(P68/O68)*100</f>
        <v>28.329571106094807</v>
      </c>
      <c r="R70" s="249"/>
      <c r="T70" s="249">
        <f>(S68/R68)*100</f>
        <v>24.411496943685783</v>
      </c>
      <c r="U70" s="121"/>
      <c r="W70" s="249">
        <f>(V68/U68)*100</f>
        <v>13.514815707058538</v>
      </c>
    </row>
    <row r="71" spans="4:23" ht="12.75">
      <c r="D71" s="99"/>
      <c r="E71" s="99"/>
      <c r="G71" s="99"/>
      <c r="H71" s="99"/>
      <c r="J71" s="99"/>
      <c r="K71" s="447"/>
      <c r="M71" s="99"/>
      <c r="N71" s="99"/>
      <c r="O71" s="99"/>
      <c r="P71" s="99"/>
      <c r="Q71" s="99"/>
      <c r="R71" s="99"/>
      <c r="S71" s="99"/>
      <c r="T71" s="99"/>
      <c r="V71" s="99"/>
      <c r="W71" s="99"/>
    </row>
    <row r="72" spans="4:23" ht="12.75">
      <c r="D72" s="99"/>
      <c r="E72" s="99"/>
      <c r="F72" s="127" t="s">
        <v>36</v>
      </c>
      <c r="G72" s="99"/>
      <c r="H72" s="99"/>
      <c r="J72" s="99"/>
      <c r="K72" s="447"/>
      <c r="M72" s="99"/>
      <c r="N72" s="99"/>
      <c r="O72" s="99"/>
      <c r="P72" s="99"/>
      <c r="Q72" s="99"/>
      <c r="R72" s="99"/>
      <c r="S72" s="99"/>
      <c r="T72" s="99"/>
      <c r="V72" s="99"/>
      <c r="W72" s="99"/>
    </row>
    <row r="73" spans="4:23" ht="12.75">
      <c r="D73" s="99"/>
      <c r="E73" s="99"/>
      <c r="G73" s="99"/>
      <c r="H73" s="99"/>
      <c r="J73" s="99"/>
      <c r="K73" s="447"/>
      <c r="M73" s="99"/>
      <c r="N73" s="99"/>
      <c r="O73" s="99"/>
      <c r="P73" s="99"/>
      <c r="Q73" s="99"/>
      <c r="R73" s="99"/>
      <c r="S73" s="99"/>
      <c r="T73" s="99"/>
      <c r="V73" s="99"/>
      <c r="W73" s="99"/>
    </row>
    <row r="74" spans="4:23" ht="12.75">
      <c r="D74" s="99"/>
      <c r="E74" s="99"/>
      <c r="F74" s="127" t="s">
        <v>36</v>
      </c>
      <c r="G74" s="99"/>
      <c r="H74" s="99"/>
      <c r="J74" s="99"/>
      <c r="K74" s="447"/>
      <c r="M74" s="99"/>
      <c r="N74" s="99"/>
      <c r="O74" s="99"/>
      <c r="P74" s="99"/>
      <c r="Q74" s="99"/>
      <c r="R74" s="99"/>
      <c r="S74" s="99"/>
      <c r="T74" s="99"/>
      <c r="V74" s="99"/>
      <c r="W74" s="99"/>
    </row>
    <row r="76" ht="12.75">
      <c r="C76" s="127">
        <v>5</v>
      </c>
    </row>
  </sheetData>
  <sheetProtection/>
  <mergeCells count="21">
    <mergeCell ref="O53:P53"/>
    <mergeCell ref="O4:P4"/>
    <mergeCell ref="U53:V53"/>
    <mergeCell ref="C53:D53"/>
    <mergeCell ref="F53:G53"/>
    <mergeCell ref="I53:J53"/>
    <mergeCell ref="L53:M53"/>
    <mergeCell ref="C4:D4"/>
    <mergeCell ref="F4:G4"/>
    <mergeCell ref="I4:J4"/>
    <mergeCell ref="L4:M4"/>
    <mergeCell ref="R4:S4"/>
    <mergeCell ref="R53:S53"/>
    <mergeCell ref="U4:V4"/>
    <mergeCell ref="C52:D52"/>
    <mergeCell ref="F52:G52"/>
    <mergeCell ref="I52:J52"/>
    <mergeCell ref="L52:M52"/>
    <mergeCell ref="O52:P52"/>
    <mergeCell ref="R52:S52"/>
    <mergeCell ref="U52:V52"/>
  </mergeCells>
  <printOptions gridLines="1" horizontalCentered="1"/>
  <pageMargins left="0.43" right="0.35" top="0.59" bottom="0.64" header="0.5" footer="0.5"/>
  <pageSetup blackAndWhite="1" horizontalDpi="300" verticalDpi="300" orientation="landscape" paperSize="9" scale="70" r:id="rId2"/>
  <rowBreaks count="1" manualBreakCount="1">
    <brk id="48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61">
      <selection activeCell="G69" sqref="G69"/>
    </sheetView>
  </sheetViews>
  <sheetFormatPr defaultColWidth="9.140625" defaultRowHeight="12.75"/>
  <cols>
    <col min="1" max="1" width="3.7109375" style="98" customWidth="1"/>
    <col min="2" max="2" width="23.140625" style="98" customWidth="1"/>
    <col min="3" max="3" width="13.421875" style="99" customWidth="1"/>
    <col min="4" max="4" width="13.57421875" style="99" customWidth="1"/>
    <col min="5" max="5" width="10.140625" style="99" customWidth="1"/>
    <col min="6" max="6" width="13.28125" style="99" customWidth="1"/>
    <col min="7" max="7" width="12.00390625" style="99" customWidth="1"/>
    <col min="8" max="8" width="8.8515625" style="99" customWidth="1"/>
    <col min="9" max="9" width="12.421875" style="99" customWidth="1"/>
    <col min="10" max="10" width="10.8515625" style="99" customWidth="1"/>
    <col min="11" max="11" width="9.421875" style="99" customWidth="1"/>
    <col min="12" max="12" width="11.7109375" style="99" customWidth="1"/>
    <col min="13" max="13" width="11.00390625" style="99" customWidth="1"/>
    <col min="14" max="14" width="7.28125" style="99" customWidth="1"/>
    <col min="15" max="16384" width="9.140625" style="98" customWidth="1"/>
  </cols>
  <sheetData>
    <row r="1" spans="1:13" ht="18" customHeight="1">
      <c r="A1" s="272"/>
      <c r="B1" s="272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 customHeight="1">
      <c r="A2" s="273"/>
      <c r="B2" s="273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9.5" customHeight="1">
      <c r="A3" s="272"/>
      <c r="B3" s="272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4" ht="12.75" customHeight="1">
      <c r="A4" s="452" t="s">
        <v>4</v>
      </c>
      <c r="B4" s="453" t="s">
        <v>5</v>
      </c>
      <c r="C4" s="682" t="s">
        <v>120</v>
      </c>
      <c r="D4" s="683"/>
      <c r="E4" s="443"/>
      <c r="F4" s="682" t="s">
        <v>370</v>
      </c>
      <c r="G4" s="683"/>
      <c r="H4" s="434"/>
      <c r="I4" s="683" t="s">
        <v>62</v>
      </c>
      <c r="J4" s="683"/>
      <c r="K4" s="443"/>
      <c r="L4" s="682" t="s">
        <v>255</v>
      </c>
      <c r="M4" s="683"/>
      <c r="N4" s="455"/>
    </row>
    <row r="5" spans="1:14" ht="12.75">
      <c r="A5" s="440"/>
      <c r="B5" s="440"/>
      <c r="C5" s="444" t="s">
        <v>266</v>
      </c>
      <c r="D5" s="444" t="s">
        <v>233</v>
      </c>
      <c r="E5" s="444" t="s">
        <v>285</v>
      </c>
      <c r="F5" s="444" t="s">
        <v>266</v>
      </c>
      <c r="G5" s="444" t="s">
        <v>233</v>
      </c>
      <c r="H5" s="444" t="s">
        <v>286</v>
      </c>
      <c r="I5" s="444" t="s">
        <v>266</v>
      </c>
      <c r="J5" s="444" t="s">
        <v>233</v>
      </c>
      <c r="K5" s="444" t="s">
        <v>286</v>
      </c>
      <c r="L5" s="444" t="s">
        <v>266</v>
      </c>
      <c r="M5" s="444" t="s">
        <v>233</v>
      </c>
      <c r="N5" s="444" t="s">
        <v>286</v>
      </c>
    </row>
    <row r="6" spans="1:14" ht="12.75">
      <c r="A6" s="265">
        <v>1</v>
      </c>
      <c r="B6" s="190" t="s">
        <v>7</v>
      </c>
      <c r="C6" s="190">
        <f>'TABLE-4'!D8</f>
        <v>89266</v>
      </c>
      <c r="D6" s="190">
        <f>'TABLE-80'!F6</f>
        <v>2419</v>
      </c>
      <c r="E6" s="190">
        <f>D6/C6*100</f>
        <v>2.709878341137723</v>
      </c>
      <c r="F6" s="190">
        <f>'TABLE-4'!E8</f>
        <v>36371</v>
      </c>
      <c r="G6" s="190">
        <f>'TABLE-80'!J6</f>
        <v>2621</v>
      </c>
      <c r="H6" s="190">
        <f>G6/F6*100</f>
        <v>7.206290726127959</v>
      </c>
      <c r="I6" s="190">
        <f>'TABLE-4'!F8</f>
        <v>22521</v>
      </c>
      <c r="J6" s="190">
        <f>'TABLE-80'!N6</f>
        <v>2526</v>
      </c>
      <c r="K6" s="190">
        <f>J6/I6*100</f>
        <v>11.216198214999334</v>
      </c>
      <c r="L6" s="190">
        <f>C6+F6+I6</f>
        <v>148158</v>
      </c>
      <c r="M6" s="190">
        <f aca="true" t="shared" si="0" ref="M6:M24">D6+G6+J6</f>
        <v>7566</v>
      </c>
      <c r="N6" s="190">
        <f>M6/L6*100</f>
        <v>5.10671040375815</v>
      </c>
    </row>
    <row r="7" spans="1:14" ht="12.75">
      <c r="A7" s="265">
        <v>2</v>
      </c>
      <c r="B7" s="190" t="s">
        <v>8</v>
      </c>
      <c r="C7" s="190">
        <f>'TABLE-4'!D9</f>
        <v>1416</v>
      </c>
      <c r="D7" s="190">
        <f>'TABLE-80'!F7</f>
        <v>0</v>
      </c>
      <c r="E7" s="190">
        <f aca="true" t="shared" si="1" ref="E7:E24">D7/C7*100</f>
        <v>0</v>
      </c>
      <c r="F7" s="190">
        <f>'TABLE-4'!E9</f>
        <v>874</v>
      </c>
      <c r="G7" s="190">
        <f>'TABLE-80'!J7</f>
        <v>16</v>
      </c>
      <c r="H7" s="190">
        <f aca="true" t="shared" si="2" ref="H7:H48">G7/F7*100</f>
        <v>1.8306636155606408</v>
      </c>
      <c r="I7" s="190">
        <f>'TABLE-4'!F9</f>
        <v>1435</v>
      </c>
      <c r="J7" s="190">
        <f>'TABLE-80'!N7</f>
        <v>72</v>
      </c>
      <c r="K7" s="190">
        <f aca="true" t="shared" si="3" ref="K7:K24">J7/I7*100</f>
        <v>5.017421602787456</v>
      </c>
      <c r="L7" s="190">
        <f aca="true" t="shared" si="4" ref="L7:L24">C7+F7+I7</f>
        <v>3725</v>
      </c>
      <c r="M7" s="190">
        <f t="shared" si="0"/>
        <v>88</v>
      </c>
      <c r="N7" s="190">
        <f aca="true" t="shared" si="5" ref="N7:N48">M7/L7*100</f>
        <v>2.36241610738255</v>
      </c>
    </row>
    <row r="8" spans="1:14" ht="12.75">
      <c r="A8" s="265">
        <v>3</v>
      </c>
      <c r="B8" s="190" t="s">
        <v>9</v>
      </c>
      <c r="C8" s="190">
        <f>'TABLE-4'!D10</f>
        <v>36074</v>
      </c>
      <c r="D8" s="190">
        <f>'TABLE-80'!F8</f>
        <v>2453</v>
      </c>
      <c r="E8" s="190">
        <f t="shared" si="1"/>
        <v>6.799911293452348</v>
      </c>
      <c r="F8" s="190">
        <f>'TABLE-4'!E10</f>
        <v>49130</v>
      </c>
      <c r="G8" s="190">
        <f>'TABLE-80'!J8</f>
        <v>623</v>
      </c>
      <c r="H8" s="190">
        <f t="shared" si="2"/>
        <v>1.2680643191532668</v>
      </c>
      <c r="I8" s="190">
        <f>'TABLE-4'!F10</f>
        <v>38254</v>
      </c>
      <c r="J8" s="190">
        <f>'TABLE-80'!N8</f>
        <v>1541</v>
      </c>
      <c r="K8" s="190">
        <f t="shared" si="3"/>
        <v>4.028336905944476</v>
      </c>
      <c r="L8" s="190">
        <f t="shared" si="4"/>
        <v>123458</v>
      </c>
      <c r="M8" s="190">
        <f t="shared" si="0"/>
        <v>4617</v>
      </c>
      <c r="N8" s="190">
        <f t="shared" si="5"/>
        <v>3.739733350613164</v>
      </c>
    </row>
    <row r="9" spans="1:14" ht="12.75">
      <c r="A9" s="265">
        <v>4</v>
      </c>
      <c r="B9" s="190" t="s">
        <v>10</v>
      </c>
      <c r="C9" s="190">
        <f>'TABLE-4'!D11</f>
        <v>270790</v>
      </c>
      <c r="D9" s="190">
        <f>'TABLE-80'!F9</f>
        <v>2817</v>
      </c>
      <c r="E9" s="190">
        <f t="shared" si="1"/>
        <v>1.0402895232467964</v>
      </c>
      <c r="F9" s="190">
        <f>'TABLE-4'!E11</f>
        <v>62256</v>
      </c>
      <c r="G9" s="190">
        <f>'TABLE-80'!J9</f>
        <v>2746</v>
      </c>
      <c r="H9" s="190">
        <f t="shared" si="2"/>
        <v>4.410819840657928</v>
      </c>
      <c r="I9" s="190">
        <f>'TABLE-4'!F11</f>
        <v>58403</v>
      </c>
      <c r="J9" s="190">
        <f>'TABLE-80'!N9</f>
        <v>4812</v>
      </c>
      <c r="K9" s="190">
        <f t="shared" si="3"/>
        <v>8.239302775542352</v>
      </c>
      <c r="L9" s="190">
        <f t="shared" si="4"/>
        <v>391449</v>
      </c>
      <c r="M9" s="190">
        <f t="shared" si="0"/>
        <v>10375</v>
      </c>
      <c r="N9" s="190">
        <f t="shared" si="5"/>
        <v>2.6504091209838316</v>
      </c>
    </row>
    <row r="10" spans="1:14" ht="12.75">
      <c r="A10" s="265">
        <v>5</v>
      </c>
      <c r="B10" s="190" t="s">
        <v>11</v>
      </c>
      <c r="C10" s="190">
        <f>'TABLE-4'!D12</f>
        <v>32208</v>
      </c>
      <c r="D10" s="190">
        <f>'TABLE-80'!F10</f>
        <v>1954</v>
      </c>
      <c r="E10" s="190">
        <f t="shared" si="1"/>
        <v>6.066815697963239</v>
      </c>
      <c r="F10" s="190">
        <f>'TABLE-4'!E12</f>
        <v>11522</v>
      </c>
      <c r="G10" s="190">
        <f>'TABLE-80'!J10</f>
        <v>1617</v>
      </c>
      <c r="H10" s="190">
        <f t="shared" si="2"/>
        <v>14.034021871202917</v>
      </c>
      <c r="I10" s="190">
        <f>'TABLE-4'!F12</f>
        <v>17846</v>
      </c>
      <c r="J10" s="190">
        <f>'TABLE-80'!N10</f>
        <v>2474</v>
      </c>
      <c r="K10" s="190">
        <f t="shared" si="3"/>
        <v>13.863050543539169</v>
      </c>
      <c r="L10" s="190">
        <f t="shared" si="4"/>
        <v>61576</v>
      </c>
      <c r="M10" s="190">
        <f t="shared" si="0"/>
        <v>6045</v>
      </c>
      <c r="N10" s="190">
        <f t="shared" si="5"/>
        <v>9.817136546706509</v>
      </c>
    </row>
    <row r="11" spans="1:14" ht="12.75">
      <c r="A11" s="265">
        <v>6</v>
      </c>
      <c r="B11" s="190" t="s">
        <v>12</v>
      </c>
      <c r="C11" s="190">
        <f>'TABLE-4'!D13</f>
        <v>10892</v>
      </c>
      <c r="D11" s="190">
        <f>'TABLE-80'!F11</f>
        <v>671</v>
      </c>
      <c r="E11" s="190">
        <f t="shared" si="1"/>
        <v>6.160484759456482</v>
      </c>
      <c r="F11" s="190">
        <f>'TABLE-4'!E13</f>
        <v>10133</v>
      </c>
      <c r="G11" s="190">
        <f>'TABLE-80'!J11</f>
        <v>666</v>
      </c>
      <c r="H11" s="190">
        <f t="shared" si="2"/>
        <v>6.572584624494226</v>
      </c>
      <c r="I11" s="190">
        <f>'TABLE-4'!F13</f>
        <v>14411</v>
      </c>
      <c r="J11" s="190">
        <f>'TABLE-80'!N11</f>
        <v>1380</v>
      </c>
      <c r="K11" s="190">
        <f t="shared" si="3"/>
        <v>9.576018319339394</v>
      </c>
      <c r="L11" s="190">
        <f t="shared" si="4"/>
        <v>35436</v>
      </c>
      <c r="M11" s="190">
        <f t="shared" si="0"/>
        <v>2717</v>
      </c>
      <c r="N11" s="190">
        <f t="shared" si="5"/>
        <v>7.66734394401174</v>
      </c>
    </row>
    <row r="12" spans="1:14" ht="12.75">
      <c r="A12" s="265">
        <v>7</v>
      </c>
      <c r="B12" s="190" t="s">
        <v>13</v>
      </c>
      <c r="C12" s="190">
        <f>'TABLE-4'!D14</f>
        <v>225974</v>
      </c>
      <c r="D12" s="190">
        <f>'TABLE-80'!F12</f>
        <v>6888</v>
      </c>
      <c r="E12" s="190">
        <f t="shared" si="1"/>
        <v>3.0481382813952047</v>
      </c>
      <c r="F12" s="190">
        <f>'TABLE-4'!E14</f>
        <v>57358</v>
      </c>
      <c r="G12" s="190">
        <f>'TABLE-80'!J12</f>
        <v>5798</v>
      </c>
      <c r="H12" s="190">
        <f t="shared" si="2"/>
        <v>10.108441716935737</v>
      </c>
      <c r="I12" s="190">
        <f>'TABLE-4'!F14</f>
        <v>70529</v>
      </c>
      <c r="J12" s="190">
        <f>'TABLE-80'!N12</f>
        <v>4039</v>
      </c>
      <c r="K12" s="190">
        <f t="shared" si="3"/>
        <v>5.726722341164627</v>
      </c>
      <c r="L12" s="190">
        <f t="shared" si="4"/>
        <v>353861</v>
      </c>
      <c r="M12" s="190">
        <f t="shared" si="0"/>
        <v>16725</v>
      </c>
      <c r="N12" s="190">
        <f t="shared" si="5"/>
        <v>4.726432130130193</v>
      </c>
    </row>
    <row r="13" spans="1:14" ht="12.75">
      <c r="A13" s="265">
        <v>8</v>
      </c>
      <c r="B13" s="190" t="s">
        <v>162</v>
      </c>
      <c r="C13" s="190">
        <f>'TABLE-4'!D15</f>
        <v>970</v>
      </c>
      <c r="D13" s="190">
        <f>'TABLE-80'!F13</f>
        <v>6</v>
      </c>
      <c r="E13" s="190">
        <f t="shared" si="1"/>
        <v>0.6185567010309279</v>
      </c>
      <c r="F13" s="190">
        <f>'TABLE-4'!E15</f>
        <v>2441</v>
      </c>
      <c r="G13" s="190">
        <f>'TABLE-80'!J13</f>
        <v>175</v>
      </c>
      <c r="H13" s="190">
        <f t="shared" si="2"/>
        <v>7.169192953707497</v>
      </c>
      <c r="I13" s="190">
        <f>'TABLE-4'!F15</f>
        <v>3664</v>
      </c>
      <c r="J13" s="190">
        <f>'TABLE-80'!N13</f>
        <v>410</v>
      </c>
      <c r="K13" s="190">
        <f t="shared" si="3"/>
        <v>11.18995633187773</v>
      </c>
      <c r="L13" s="190">
        <f t="shared" si="4"/>
        <v>7075</v>
      </c>
      <c r="M13" s="190">
        <f t="shared" si="0"/>
        <v>591</v>
      </c>
      <c r="N13" s="190">
        <f t="shared" si="5"/>
        <v>8.353356890459365</v>
      </c>
    </row>
    <row r="14" spans="1:14" ht="12.75">
      <c r="A14" s="265">
        <v>9</v>
      </c>
      <c r="B14" s="190" t="s">
        <v>14</v>
      </c>
      <c r="C14" s="190">
        <f>'TABLE-4'!D16</f>
        <v>21704</v>
      </c>
      <c r="D14" s="190">
        <f>'TABLE-80'!F14</f>
        <v>491</v>
      </c>
      <c r="E14" s="190">
        <f t="shared" si="1"/>
        <v>2.2622558053814963</v>
      </c>
      <c r="F14" s="190">
        <f>'TABLE-4'!E16</f>
        <v>19769</v>
      </c>
      <c r="G14" s="190">
        <f>'TABLE-80'!J14</f>
        <v>1042</v>
      </c>
      <c r="H14" s="190">
        <f t="shared" si="2"/>
        <v>5.270878648388892</v>
      </c>
      <c r="I14" s="190">
        <f>'TABLE-4'!F16</f>
        <v>11402</v>
      </c>
      <c r="J14" s="190">
        <f>'TABLE-80'!N14</f>
        <v>1358</v>
      </c>
      <c r="K14" s="190">
        <f t="shared" si="3"/>
        <v>11.910191194527275</v>
      </c>
      <c r="L14" s="190">
        <f t="shared" si="4"/>
        <v>52875</v>
      </c>
      <c r="M14" s="190">
        <f t="shared" si="0"/>
        <v>2891</v>
      </c>
      <c r="N14" s="190">
        <f t="shared" si="5"/>
        <v>5.467612293144208</v>
      </c>
    </row>
    <row r="15" spans="1:14" ht="12.75">
      <c r="A15" s="265">
        <v>10</v>
      </c>
      <c r="B15" s="190" t="s">
        <v>15</v>
      </c>
      <c r="C15" s="190">
        <f>'TABLE-4'!D17</f>
        <v>983</v>
      </c>
      <c r="D15" s="190">
        <f>'TABLE-80'!F15</f>
        <v>35</v>
      </c>
      <c r="E15" s="190">
        <f t="shared" si="1"/>
        <v>3.560528992878942</v>
      </c>
      <c r="F15" s="190">
        <f>'TABLE-4'!E17</f>
        <v>1238</v>
      </c>
      <c r="G15" s="190">
        <f>'TABLE-80'!J15</f>
        <v>59</v>
      </c>
      <c r="H15" s="190">
        <f t="shared" si="2"/>
        <v>4.765751211631664</v>
      </c>
      <c r="I15" s="190">
        <f>'TABLE-4'!F17</f>
        <v>2338</v>
      </c>
      <c r="J15" s="190">
        <f>'TABLE-80'!N15</f>
        <v>110</v>
      </c>
      <c r="K15" s="190">
        <f t="shared" si="3"/>
        <v>4.704875962360992</v>
      </c>
      <c r="L15" s="190">
        <f t="shared" si="4"/>
        <v>4559</v>
      </c>
      <c r="M15" s="190">
        <f t="shared" si="0"/>
        <v>204</v>
      </c>
      <c r="N15" s="190">
        <f t="shared" si="5"/>
        <v>4.474665496819478</v>
      </c>
    </row>
    <row r="16" spans="1:14" ht="12.75">
      <c r="A16" s="265">
        <v>11</v>
      </c>
      <c r="B16" s="190" t="s">
        <v>16</v>
      </c>
      <c r="C16" s="190">
        <f>'TABLE-4'!D18</f>
        <v>449</v>
      </c>
      <c r="D16" s="190">
        <f>'TABLE-80'!F16</f>
        <v>11</v>
      </c>
      <c r="E16" s="190">
        <f t="shared" si="1"/>
        <v>2.4498886414253898</v>
      </c>
      <c r="F16" s="190">
        <f>'TABLE-4'!E18</f>
        <v>1270</v>
      </c>
      <c r="G16" s="190">
        <f>'TABLE-80'!J16</f>
        <v>87</v>
      </c>
      <c r="H16" s="190">
        <f t="shared" si="2"/>
        <v>6.850393700787402</v>
      </c>
      <c r="I16" s="190">
        <f>'TABLE-4'!F18</f>
        <v>2067</v>
      </c>
      <c r="J16" s="190">
        <f>'TABLE-80'!N16</f>
        <v>231</v>
      </c>
      <c r="K16" s="190">
        <f t="shared" si="3"/>
        <v>11.175616835994195</v>
      </c>
      <c r="L16" s="190">
        <f t="shared" si="4"/>
        <v>3786</v>
      </c>
      <c r="M16" s="190">
        <f t="shared" si="0"/>
        <v>329</v>
      </c>
      <c r="N16" s="190">
        <f t="shared" si="5"/>
        <v>8.689910195456948</v>
      </c>
    </row>
    <row r="17" spans="1:14" ht="12.75">
      <c r="A17" s="265">
        <v>12</v>
      </c>
      <c r="B17" s="190" t="s">
        <v>17</v>
      </c>
      <c r="C17" s="190">
        <f>'TABLE-4'!D19</f>
        <v>22759</v>
      </c>
      <c r="D17" s="190">
        <f>'TABLE-80'!F17</f>
        <v>822</v>
      </c>
      <c r="E17" s="190">
        <f t="shared" si="1"/>
        <v>3.6117579858517512</v>
      </c>
      <c r="F17" s="190">
        <f>'TABLE-4'!E19</f>
        <v>13926</v>
      </c>
      <c r="G17" s="190">
        <f>'TABLE-80'!J17</f>
        <v>1578</v>
      </c>
      <c r="H17" s="190">
        <f t="shared" si="2"/>
        <v>11.331322705730289</v>
      </c>
      <c r="I17" s="190">
        <f>'TABLE-4'!F19</f>
        <v>14767</v>
      </c>
      <c r="J17" s="190">
        <f>'TABLE-80'!N17</f>
        <v>1114</v>
      </c>
      <c r="K17" s="190">
        <f t="shared" si="3"/>
        <v>7.543847768673394</v>
      </c>
      <c r="L17" s="190">
        <f t="shared" si="4"/>
        <v>51452</v>
      </c>
      <c r="M17" s="190">
        <f t="shared" si="0"/>
        <v>3514</v>
      </c>
      <c r="N17" s="190">
        <f t="shared" si="5"/>
        <v>6.829666485267823</v>
      </c>
    </row>
    <row r="18" spans="1:14" ht="12.75">
      <c r="A18" s="265">
        <v>13</v>
      </c>
      <c r="B18" s="190" t="s">
        <v>164</v>
      </c>
      <c r="C18" s="190">
        <f>'TABLE-4'!D20</f>
        <v>4545</v>
      </c>
      <c r="D18" s="190">
        <f>'TABLE-80'!F18</f>
        <v>353</v>
      </c>
      <c r="E18" s="190">
        <f t="shared" si="1"/>
        <v>7.7667766776677665</v>
      </c>
      <c r="F18" s="190">
        <f>'TABLE-4'!E20</f>
        <v>11823</v>
      </c>
      <c r="G18" s="190">
        <f>'TABLE-80'!J18</f>
        <v>386</v>
      </c>
      <c r="H18" s="190">
        <f t="shared" si="2"/>
        <v>3.2648228030110804</v>
      </c>
      <c r="I18" s="190">
        <f>'TABLE-4'!F20</f>
        <v>2611</v>
      </c>
      <c r="J18" s="190">
        <f>'TABLE-80'!N18</f>
        <v>34</v>
      </c>
      <c r="K18" s="190">
        <f t="shared" si="3"/>
        <v>1.3021830716200689</v>
      </c>
      <c r="L18" s="190">
        <f t="shared" si="4"/>
        <v>18979</v>
      </c>
      <c r="M18" s="190">
        <f t="shared" si="0"/>
        <v>773</v>
      </c>
      <c r="N18" s="190">
        <f t="shared" si="5"/>
        <v>4.072922704041309</v>
      </c>
    </row>
    <row r="19" spans="1:14" ht="12.75">
      <c r="A19" s="265">
        <v>14</v>
      </c>
      <c r="B19" s="190" t="s">
        <v>77</v>
      </c>
      <c r="C19" s="190">
        <f>'TABLE-4'!D21</f>
        <v>110783</v>
      </c>
      <c r="D19" s="190">
        <f>'TABLE-80'!F19</f>
        <v>9792</v>
      </c>
      <c r="E19" s="190">
        <f t="shared" si="1"/>
        <v>8.838901275466453</v>
      </c>
      <c r="F19" s="190">
        <f>'TABLE-4'!E21</f>
        <v>41583</v>
      </c>
      <c r="G19" s="190">
        <f>'TABLE-80'!J19</f>
        <v>13792</v>
      </c>
      <c r="H19" s="190">
        <f t="shared" si="2"/>
        <v>33.16740013948007</v>
      </c>
      <c r="I19" s="190">
        <f>'TABLE-4'!F21</f>
        <v>47767</v>
      </c>
      <c r="J19" s="190">
        <f>'TABLE-80'!N19</f>
        <v>2820</v>
      </c>
      <c r="K19" s="190">
        <f t="shared" si="3"/>
        <v>5.903657336655012</v>
      </c>
      <c r="L19" s="190">
        <f t="shared" si="4"/>
        <v>200133</v>
      </c>
      <c r="M19" s="190">
        <f t="shared" si="0"/>
        <v>26404</v>
      </c>
      <c r="N19" s="190">
        <f t="shared" si="5"/>
        <v>13.193226504374591</v>
      </c>
    </row>
    <row r="20" spans="1:14" ht="12.75">
      <c r="A20" s="265">
        <v>15</v>
      </c>
      <c r="B20" s="190" t="s">
        <v>105</v>
      </c>
      <c r="C20" s="190">
        <f>'TABLE-4'!D22</f>
        <v>4231</v>
      </c>
      <c r="D20" s="190">
        <f>'TABLE-80'!F20</f>
        <v>346</v>
      </c>
      <c r="E20" s="190">
        <f t="shared" si="1"/>
        <v>8.177735759867645</v>
      </c>
      <c r="F20" s="190">
        <f>'TABLE-4'!E22</f>
        <v>5452</v>
      </c>
      <c r="G20" s="190">
        <f>'TABLE-80'!J20</f>
        <v>1063</v>
      </c>
      <c r="H20" s="190">
        <f t="shared" si="2"/>
        <v>19.49743213499633</v>
      </c>
      <c r="I20" s="190">
        <f>'TABLE-4'!F22</f>
        <v>14227</v>
      </c>
      <c r="J20" s="190">
        <f>'TABLE-80'!N20</f>
        <v>1454</v>
      </c>
      <c r="K20" s="190">
        <f t="shared" si="3"/>
        <v>10.220004217333239</v>
      </c>
      <c r="L20" s="190">
        <f t="shared" si="4"/>
        <v>23910</v>
      </c>
      <c r="M20" s="190">
        <f t="shared" si="0"/>
        <v>2863</v>
      </c>
      <c r="N20" s="190">
        <f t="shared" si="5"/>
        <v>11.974069427017984</v>
      </c>
    </row>
    <row r="21" spans="1:14" ht="12.75">
      <c r="A21" s="265">
        <v>16</v>
      </c>
      <c r="B21" s="190" t="s">
        <v>20</v>
      </c>
      <c r="C21" s="190">
        <f>'TABLE-4'!D23</f>
        <v>90632</v>
      </c>
      <c r="D21" s="190">
        <f>'TABLE-80'!F21</f>
        <v>2941</v>
      </c>
      <c r="E21" s="190">
        <f t="shared" si="1"/>
        <v>3.2449907317503754</v>
      </c>
      <c r="F21" s="190">
        <f>'TABLE-4'!E23</f>
        <v>29088</v>
      </c>
      <c r="G21" s="190">
        <f>'TABLE-80'!J21</f>
        <v>1249</v>
      </c>
      <c r="H21" s="190">
        <f t="shared" si="2"/>
        <v>4.293866886688669</v>
      </c>
      <c r="I21" s="190">
        <f>'TABLE-4'!F23</f>
        <v>53148</v>
      </c>
      <c r="J21" s="190">
        <f>'TABLE-80'!N21</f>
        <v>1613</v>
      </c>
      <c r="K21" s="190">
        <f t="shared" si="3"/>
        <v>3.0349213516971476</v>
      </c>
      <c r="L21" s="190">
        <f t="shared" si="4"/>
        <v>172868</v>
      </c>
      <c r="M21" s="190">
        <f t="shared" si="0"/>
        <v>5803</v>
      </c>
      <c r="N21" s="190">
        <f t="shared" si="5"/>
        <v>3.3568965916190385</v>
      </c>
    </row>
    <row r="22" spans="1:14" ht="12.75">
      <c r="A22" s="265">
        <v>17</v>
      </c>
      <c r="B22" s="190" t="s">
        <v>21</v>
      </c>
      <c r="C22" s="190">
        <f>'TABLE-4'!D24</f>
        <v>97999</v>
      </c>
      <c r="D22" s="190">
        <f>'TABLE-80'!F22</f>
        <v>4861</v>
      </c>
      <c r="E22" s="190">
        <f t="shared" si="1"/>
        <v>4.960254696476494</v>
      </c>
      <c r="F22" s="190">
        <f>'TABLE-4'!E24</f>
        <v>48288</v>
      </c>
      <c r="G22" s="190">
        <f>'TABLE-80'!J22</f>
        <v>5165</v>
      </c>
      <c r="H22" s="190">
        <f t="shared" si="2"/>
        <v>10.696239231278993</v>
      </c>
      <c r="I22" s="190">
        <f>'TABLE-4'!F24</f>
        <v>29260</v>
      </c>
      <c r="J22" s="190">
        <f>'TABLE-80'!N22</f>
        <v>2787</v>
      </c>
      <c r="K22" s="190">
        <f t="shared" si="3"/>
        <v>9.524948735475052</v>
      </c>
      <c r="L22" s="190">
        <f t="shared" si="4"/>
        <v>175547</v>
      </c>
      <c r="M22" s="190">
        <f t="shared" si="0"/>
        <v>12813</v>
      </c>
      <c r="N22" s="190">
        <f t="shared" si="5"/>
        <v>7.298900009684016</v>
      </c>
    </row>
    <row r="23" spans="1:14" ht="12.75">
      <c r="A23" s="265">
        <v>18</v>
      </c>
      <c r="B23" s="190" t="s">
        <v>19</v>
      </c>
      <c r="C23" s="190">
        <f>'TABLE-4'!D25</f>
        <v>1233</v>
      </c>
      <c r="D23" s="190">
        <f>'TABLE-80'!F23</f>
        <v>12</v>
      </c>
      <c r="E23" s="190">
        <f t="shared" si="1"/>
        <v>0.9732360097323601</v>
      </c>
      <c r="F23" s="190">
        <f>'TABLE-4'!E25</f>
        <v>564</v>
      </c>
      <c r="G23" s="190">
        <f>'TABLE-80'!J23</f>
        <v>4</v>
      </c>
      <c r="H23" s="190">
        <f t="shared" si="2"/>
        <v>0.7092198581560284</v>
      </c>
      <c r="I23" s="190">
        <f>'TABLE-4'!F25</f>
        <v>1450</v>
      </c>
      <c r="J23" s="190">
        <f>'TABLE-80'!N23</f>
        <v>42</v>
      </c>
      <c r="K23" s="190">
        <f t="shared" si="3"/>
        <v>2.896551724137931</v>
      </c>
      <c r="L23" s="190">
        <f t="shared" si="4"/>
        <v>3247</v>
      </c>
      <c r="M23" s="190">
        <f t="shared" si="0"/>
        <v>58</v>
      </c>
      <c r="N23" s="190">
        <f t="shared" si="5"/>
        <v>1.786264243917462</v>
      </c>
    </row>
    <row r="24" spans="1:14" ht="12.75">
      <c r="A24" s="265">
        <v>19</v>
      </c>
      <c r="B24" s="190" t="s">
        <v>124</v>
      </c>
      <c r="C24" s="190">
        <f>'TABLE-4'!D26</f>
        <v>1547</v>
      </c>
      <c r="D24" s="190">
        <f>'TABLE-80'!F24</f>
        <v>17</v>
      </c>
      <c r="E24" s="190">
        <f t="shared" si="1"/>
        <v>1.098901098901099</v>
      </c>
      <c r="F24" s="190">
        <f>'TABLE-4'!E26</f>
        <v>3383</v>
      </c>
      <c r="G24" s="190">
        <f>'TABLE-80'!J24</f>
        <v>157</v>
      </c>
      <c r="H24" s="190">
        <f t="shared" si="2"/>
        <v>4.640851315400532</v>
      </c>
      <c r="I24" s="190">
        <f>'TABLE-4'!F26</f>
        <v>4255</v>
      </c>
      <c r="J24" s="190">
        <f>'TABLE-80'!N24</f>
        <v>278</v>
      </c>
      <c r="K24" s="190">
        <f t="shared" si="3"/>
        <v>6.533490011750881</v>
      </c>
      <c r="L24" s="190">
        <f t="shared" si="4"/>
        <v>9185</v>
      </c>
      <c r="M24" s="190">
        <f t="shared" si="0"/>
        <v>452</v>
      </c>
      <c r="N24" s="190">
        <f t="shared" si="5"/>
        <v>4.921066956995101</v>
      </c>
    </row>
    <row r="25" spans="1:14" s="200" customFormat="1" ht="15">
      <c r="A25" s="456"/>
      <c r="B25" s="197" t="s">
        <v>224</v>
      </c>
      <c r="C25" s="197">
        <f>SUM(C6:C24)</f>
        <v>1024455</v>
      </c>
      <c r="D25" s="197">
        <f aca="true" t="shared" si="6" ref="D25:M25">SUM(D6:D24)</f>
        <v>36889</v>
      </c>
      <c r="E25" s="197">
        <f aca="true" t="shared" si="7" ref="E25:E48">D25/C25*100</f>
        <v>3.6008414230005226</v>
      </c>
      <c r="F25" s="197">
        <f t="shared" si="6"/>
        <v>406469</v>
      </c>
      <c r="G25" s="197">
        <f t="shared" si="6"/>
        <v>38844</v>
      </c>
      <c r="H25" s="197">
        <f t="shared" si="2"/>
        <v>9.556448339233741</v>
      </c>
      <c r="I25" s="197">
        <f t="shared" si="6"/>
        <v>410355</v>
      </c>
      <c r="J25" s="197">
        <f t="shared" si="6"/>
        <v>29095</v>
      </c>
      <c r="K25" s="197">
        <f aca="true" t="shared" si="8" ref="K25:K48">J25/I25*100</f>
        <v>7.090202385739178</v>
      </c>
      <c r="L25" s="197">
        <f t="shared" si="6"/>
        <v>1841279</v>
      </c>
      <c r="M25" s="197">
        <f t="shared" si="6"/>
        <v>104828</v>
      </c>
      <c r="N25" s="197">
        <f t="shared" si="5"/>
        <v>5.693216508742021</v>
      </c>
    </row>
    <row r="26" spans="1:14" ht="12.75">
      <c r="A26" s="54">
        <v>20</v>
      </c>
      <c r="B26" s="190" t="s">
        <v>23</v>
      </c>
      <c r="C26" s="190">
        <f>'TABLE-4'!D28</f>
        <v>343</v>
      </c>
      <c r="D26" s="190">
        <f>'TABLE-80'!F26</f>
        <v>0</v>
      </c>
      <c r="E26" s="408">
        <v>0</v>
      </c>
      <c r="F26" s="190">
        <f>'TABLE-4'!E28</f>
        <v>1131</v>
      </c>
      <c r="G26" s="190">
        <f>'TABLE-80'!J26</f>
        <v>124</v>
      </c>
      <c r="H26" s="190">
        <f t="shared" si="2"/>
        <v>10.963748894783377</v>
      </c>
      <c r="I26" s="190">
        <f>'TABLE-4'!F28</f>
        <v>1116</v>
      </c>
      <c r="J26" s="190">
        <f>'TABLE-80'!N26</f>
        <v>91</v>
      </c>
      <c r="K26" s="190">
        <f t="shared" si="8"/>
        <v>8.154121863799284</v>
      </c>
      <c r="L26" s="190">
        <f aca="true" t="shared" si="9" ref="L26:L32">C26+F26+I26</f>
        <v>2590</v>
      </c>
      <c r="M26" s="190">
        <f aca="true" t="shared" si="10" ref="M26:M32">D26+G26+J26</f>
        <v>215</v>
      </c>
      <c r="N26" s="190">
        <f t="shared" si="5"/>
        <v>8.301158301158301</v>
      </c>
    </row>
    <row r="27" spans="1:14" ht="12.75">
      <c r="A27" s="54">
        <v>21</v>
      </c>
      <c r="B27" s="190" t="s">
        <v>269</v>
      </c>
      <c r="C27" s="190">
        <f>'TABLE-4'!D29</f>
        <v>10</v>
      </c>
      <c r="D27" s="190">
        <f>'TABLE-80'!F27</f>
        <v>0</v>
      </c>
      <c r="E27" s="408">
        <v>0</v>
      </c>
      <c r="F27" s="190">
        <f>'TABLE-4'!E29</f>
        <v>440</v>
      </c>
      <c r="G27" s="190">
        <f>'TABLE-80'!J27</f>
        <v>58</v>
      </c>
      <c r="H27" s="190">
        <f t="shared" si="2"/>
        <v>13.18181818181818</v>
      </c>
      <c r="I27" s="190">
        <f>'TABLE-4'!F29</f>
        <v>2369</v>
      </c>
      <c r="J27" s="190">
        <f>'TABLE-80'!N27</f>
        <v>931</v>
      </c>
      <c r="K27" s="190">
        <f t="shared" si="8"/>
        <v>39.299282397636134</v>
      </c>
      <c r="L27" s="190">
        <f t="shared" si="9"/>
        <v>2819</v>
      </c>
      <c r="M27" s="190">
        <f t="shared" si="10"/>
        <v>989</v>
      </c>
      <c r="N27" s="190">
        <f t="shared" si="5"/>
        <v>35.083362894643486</v>
      </c>
    </row>
    <row r="28" spans="1:14" ht="12.75">
      <c r="A28" s="54">
        <v>22</v>
      </c>
      <c r="B28" s="190" t="s">
        <v>169</v>
      </c>
      <c r="C28" s="190">
        <f>'TABLE-4'!D30</f>
        <v>0</v>
      </c>
      <c r="D28" s="190">
        <f>'TABLE-80'!F28</f>
        <v>0</v>
      </c>
      <c r="E28" s="408">
        <v>0</v>
      </c>
      <c r="F28" s="190">
        <f>'TABLE-4'!E30</f>
        <v>1017</v>
      </c>
      <c r="G28" s="190">
        <f>'TABLE-80'!J28</f>
        <v>38</v>
      </c>
      <c r="H28" s="190">
        <f t="shared" si="2"/>
        <v>3.736479842674533</v>
      </c>
      <c r="I28" s="190">
        <f>'TABLE-4'!F30</f>
        <v>5109</v>
      </c>
      <c r="J28" s="190">
        <f>'TABLE-80'!N28</f>
        <v>197</v>
      </c>
      <c r="K28" s="190">
        <f t="shared" si="8"/>
        <v>3.8559404971618716</v>
      </c>
      <c r="L28" s="190">
        <f t="shared" si="9"/>
        <v>6126</v>
      </c>
      <c r="M28" s="190">
        <f t="shared" si="10"/>
        <v>235</v>
      </c>
      <c r="N28" s="190">
        <f t="shared" si="5"/>
        <v>3.8361083904668627</v>
      </c>
    </row>
    <row r="29" spans="1:14" ht="12.75">
      <c r="A29" s="54">
        <v>23</v>
      </c>
      <c r="B29" s="190" t="s">
        <v>22</v>
      </c>
      <c r="C29" s="190">
        <f>'TABLE-4'!D31</f>
        <v>16</v>
      </c>
      <c r="D29" s="190">
        <f>'TABLE-80'!F29</f>
        <v>0</v>
      </c>
      <c r="E29" s="190">
        <f t="shared" si="7"/>
        <v>0</v>
      </c>
      <c r="F29" s="190">
        <f>'TABLE-4'!E31</f>
        <v>3856</v>
      </c>
      <c r="G29" s="190">
        <f>'TABLE-80'!J29</f>
        <v>16</v>
      </c>
      <c r="H29" s="190">
        <f t="shared" si="2"/>
        <v>0.4149377593360996</v>
      </c>
      <c r="I29" s="190">
        <f>'TABLE-4'!F31</f>
        <v>1698</v>
      </c>
      <c r="J29" s="190">
        <f>'TABLE-80'!N29</f>
        <v>63</v>
      </c>
      <c r="K29" s="190">
        <f t="shared" si="8"/>
        <v>3.7102473498233217</v>
      </c>
      <c r="L29" s="190">
        <f t="shared" si="9"/>
        <v>5570</v>
      </c>
      <c r="M29" s="190">
        <f t="shared" si="10"/>
        <v>79</v>
      </c>
      <c r="N29" s="190">
        <f t="shared" si="5"/>
        <v>1.4183123877917414</v>
      </c>
    </row>
    <row r="30" spans="1:14" ht="12.75">
      <c r="A30" s="54">
        <v>24</v>
      </c>
      <c r="B30" s="190" t="s">
        <v>141</v>
      </c>
      <c r="C30" s="190">
        <f>'TABLE-4'!D32</f>
        <v>627</v>
      </c>
      <c r="D30" s="190">
        <f>'TABLE-80'!F30</f>
        <v>155</v>
      </c>
      <c r="E30" s="190">
        <f t="shared" si="7"/>
        <v>24.720893141945773</v>
      </c>
      <c r="F30" s="190">
        <f>'TABLE-4'!E32</f>
        <v>2337</v>
      </c>
      <c r="G30" s="190">
        <f>'TABLE-80'!J30</f>
        <v>508</v>
      </c>
      <c r="H30" s="190">
        <f t="shared" si="2"/>
        <v>21.73727000427899</v>
      </c>
      <c r="I30" s="190">
        <f>'TABLE-4'!F32</f>
        <v>2316</v>
      </c>
      <c r="J30" s="190">
        <f>'TABLE-80'!N30</f>
        <v>155</v>
      </c>
      <c r="K30" s="190">
        <f t="shared" si="8"/>
        <v>6.6925734024179615</v>
      </c>
      <c r="L30" s="190">
        <f t="shared" si="9"/>
        <v>5280</v>
      </c>
      <c r="M30" s="190">
        <f t="shared" si="10"/>
        <v>818</v>
      </c>
      <c r="N30" s="190">
        <f t="shared" si="5"/>
        <v>15.492424242424244</v>
      </c>
    </row>
    <row r="31" spans="1:14" ht="12.75">
      <c r="A31" s="54">
        <v>25</v>
      </c>
      <c r="B31" s="190" t="s">
        <v>18</v>
      </c>
      <c r="C31" s="190">
        <f>'TABLE-4'!D33</f>
        <v>455372</v>
      </c>
      <c r="D31" s="190">
        <f>'TABLE-80'!F31</f>
        <v>16803</v>
      </c>
      <c r="E31" s="190">
        <f t="shared" si="7"/>
        <v>3.689950194566201</v>
      </c>
      <c r="F31" s="190">
        <f>'TABLE-4'!E33</f>
        <v>149632</v>
      </c>
      <c r="G31" s="190">
        <f>'TABLE-80'!J31</f>
        <v>14702</v>
      </c>
      <c r="H31" s="190">
        <f t="shared" si="2"/>
        <v>9.825438408896494</v>
      </c>
      <c r="I31" s="190">
        <f>'TABLE-4'!F33</f>
        <v>277539</v>
      </c>
      <c r="J31" s="190">
        <f>'TABLE-80'!N31</f>
        <v>10369</v>
      </c>
      <c r="K31" s="190">
        <f t="shared" si="8"/>
        <v>3.7360515098778913</v>
      </c>
      <c r="L31" s="190">
        <f t="shared" si="9"/>
        <v>882543</v>
      </c>
      <c r="M31" s="190">
        <f t="shared" si="10"/>
        <v>41874</v>
      </c>
      <c r="N31" s="190">
        <f t="shared" si="5"/>
        <v>4.7446979920525125</v>
      </c>
    </row>
    <row r="32" spans="1:14" ht="12.75">
      <c r="A32" s="54">
        <v>26</v>
      </c>
      <c r="B32" s="190" t="s">
        <v>104</v>
      </c>
      <c r="C32" s="190">
        <f>'TABLE-4'!D34</f>
        <v>264627</v>
      </c>
      <c r="D32" s="190">
        <f>'TABLE-80'!F32</f>
        <v>1434</v>
      </c>
      <c r="E32" s="190">
        <f t="shared" si="7"/>
        <v>0.541894817989094</v>
      </c>
      <c r="F32" s="190">
        <f>'TABLE-4'!E34</f>
        <v>196027</v>
      </c>
      <c r="G32" s="190">
        <f>'TABLE-80'!J32</f>
        <v>9477</v>
      </c>
      <c r="H32" s="190">
        <f t="shared" si="2"/>
        <v>4.834538099343458</v>
      </c>
      <c r="I32" s="190">
        <f>'TABLE-4'!F34</f>
        <v>107966</v>
      </c>
      <c r="J32" s="190">
        <f>'TABLE-80'!N32</f>
        <v>1798</v>
      </c>
      <c r="K32" s="190">
        <f t="shared" si="8"/>
        <v>1.6653390882314802</v>
      </c>
      <c r="L32" s="190">
        <f t="shared" si="9"/>
        <v>568620</v>
      </c>
      <c r="M32" s="190">
        <f t="shared" si="10"/>
        <v>12709</v>
      </c>
      <c r="N32" s="190">
        <f t="shared" si="5"/>
        <v>2.235060321480075</v>
      </c>
    </row>
    <row r="33" spans="1:14" s="199" customFormat="1" ht="14.25">
      <c r="A33" s="274"/>
      <c r="B33" s="197" t="s">
        <v>226</v>
      </c>
      <c r="C33" s="197">
        <f>SUM(C26:C32)</f>
        <v>720995</v>
      </c>
      <c r="D33" s="197">
        <f aca="true" t="shared" si="11" ref="D33:M33">SUM(D26:D32)</f>
        <v>18392</v>
      </c>
      <c r="E33" s="198">
        <f t="shared" si="7"/>
        <v>2.550919215805935</v>
      </c>
      <c r="F33" s="197">
        <f t="shared" si="11"/>
        <v>354440</v>
      </c>
      <c r="G33" s="197">
        <f t="shared" si="11"/>
        <v>24923</v>
      </c>
      <c r="H33" s="198">
        <f t="shared" si="2"/>
        <v>7.031655569348833</v>
      </c>
      <c r="I33" s="197">
        <f t="shared" si="11"/>
        <v>398113</v>
      </c>
      <c r="J33" s="197">
        <f t="shared" si="11"/>
        <v>13604</v>
      </c>
      <c r="K33" s="198">
        <f t="shared" si="8"/>
        <v>3.417120264849427</v>
      </c>
      <c r="L33" s="197">
        <f t="shared" si="11"/>
        <v>1473548</v>
      </c>
      <c r="M33" s="197">
        <f t="shared" si="11"/>
        <v>56919</v>
      </c>
      <c r="N33" s="198">
        <f t="shared" si="5"/>
        <v>3.862717739768233</v>
      </c>
    </row>
    <row r="34" spans="1:14" ht="12.75">
      <c r="A34" s="54">
        <v>27</v>
      </c>
      <c r="B34" s="190" t="s">
        <v>163</v>
      </c>
      <c r="C34" s="190">
        <f>'TABLE-4'!D36</f>
        <v>1016</v>
      </c>
      <c r="D34" s="190">
        <f>'TABLE-80'!F34</f>
        <v>81</v>
      </c>
      <c r="E34" s="190">
        <f t="shared" si="7"/>
        <v>7.97244094488189</v>
      </c>
      <c r="F34" s="190">
        <f>'TABLE-4'!E36</f>
        <v>2649</v>
      </c>
      <c r="G34" s="190">
        <f>'TABLE-80'!J34</f>
        <v>51</v>
      </c>
      <c r="H34" s="190">
        <f t="shared" si="2"/>
        <v>1.9252548131370328</v>
      </c>
      <c r="I34" s="190">
        <f>'TABLE-4'!F36</f>
        <v>1205</v>
      </c>
      <c r="J34" s="190">
        <f>'TABLE-80'!N34</f>
        <v>242</v>
      </c>
      <c r="K34" s="190">
        <f t="shared" si="8"/>
        <v>20.08298755186722</v>
      </c>
      <c r="L34" s="190">
        <f aca="true" t="shared" si="12" ref="L34:L46">C34+F34+I34</f>
        <v>4870</v>
      </c>
      <c r="M34" s="190">
        <f aca="true" t="shared" si="13" ref="M34:M46">D34+G34+J34</f>
        <v>374</v>
      </c>
      <c r="N34" s="190">
        <f t="shared" si="5"/>
        <v>7.6796714579055445</v>
      </c>
    </row>
    <row r="35" spans="1:14" ht="12.75">
      <c r="A35" s="54">
        <v>28</v>
      </c>
      <c r="B35" s="190" t="s">
        <v>231</v>
      </c>
      <c r="C35" s="190">
        <f>'TABLE-4'!D37</f>
        <v>17696</v>
      </c>
      <c r="D35" s="190">
        <f>'TABLE-80'!F35</f>
        <v>0</v>
      </c>
      <c r="E35" s="190">
        <f t="shared" si="7"/>
        <v>0</v>
      </c>
      <c r="F35" s="190">
        <f>'TABLE-4'!E37</f>
        <v>33994</v>
      </c>
      <c r="G35" s="190">
        <f>'TABLE-80'!J35</f>
        <v>0</v>
      </c>
      <c r="H35" s="190">
        <f t="shared" si="2"/>
        <v>0</v>
      </c>
      <c r="I35" s="190">
        <f>'TABLE-4'!F37</f>
        <v>1245</v>
      </c>
      <c r="J35" s="190">
        <f>'TABLE-80'!N35</f>
        <v>0</v>
      </c>
      <c r="K35" s="190">
        <f t="shared" si="8"/>
        <v>0</v>
      </c>
      <c r="L35" s="190">
        <f t="shared" si="12"/>
        <v>52935</v>
      </c>
      <c r="M35" s="190">
        <f t="shared" si="13"/>
        <v>0</v>
      </c>
      <c r="N35" s="190">
        <f t="shared" si="5"/>
        <v>0</v>
      </c>
    </row>
    <row r="36" spans="1:14" ht="12.75">
      <c r="A36" s="54">
        <v>29</v>
      </c>
      <c r="B36" s="190" t="s">
        <v>218</v>
      </c>
      <c r="C36" s="190">
        <f>'TABLE-4'!D38</f>
        <v>81772</v>
      </c>
      <c r="D36" s="190">
        <f>'TABLE-80'!F36</f>
        <v>0</v>
      </c>
      <c r="E36" s="190">
        <f t="shared" si="7"/>
        <v>0</v>
      </c>
      <c r="F36" s="190">
        <f>'TABLE-4'!E38</f>
        <v>9141</v>
      </c>
      <c r="G36" s="190">
        <f>'TABLE-80'!J36</f>
        <v>0</v>
      </c>
      <c r="H36" s="190">
        <f t="shared" si="2"/>
        <v>0</v>
      </c>
      <c r="I36" s="190">
        <f>'TABLE-4'!F38</f>
        <v>68674</v>
      </c>
      <c r="J36" s="190">
        <f>'TABLE-80'!N36</f>
        <v>0</v>
      </c>
      <c r="K36" s="190">
        <f t="shared" si="8"/>
        <v>0</v>
      </c>
      <c r="L36" s="190">
        <f t="shared" si="12"/>
        <v>159587</v>
      </c>
      <c r="M36" s="190">
        <f t="shared" si="13"/>
        <v>0</v>
      </c>
      <c r="N36" s="190">
        <f t="shared" si="5"/>
        <v>0</v>
      </c>
    </row>
    <row r="37" spans="1:14" ht="12.75">
      <c r="A37" s="54">
        <v>30</v>
      </c>
      <c r="B37" s="190" t="s">
        <v>236</v>
      </c>
      <c r="C37" s="190">
        <f>'TABLE-4'!D39</f>
        <v>34704</v>
      </c>
      <c r="D37" s="190">
        <f>'TABLE-80'!F37</f>
        <v>850</v>
      </c>
      <c r="E37" s="190">
        <f t="shared" si="7"/>
        <v>2.4492853849700325</v>
      </c>
      <c r="F37" s="190">
        <f>'TABLE-4'!E39</f>
        <v>6571</v>
      </c>
      <c r="G37" s="190">
        <f>'TABLE-80'!J37</f>
        <v>149</v>
      </c>
      <c r="H37" s="190">
        <f t="shared" si="2"/>
        <v>2.2675391873383046</v>
      </c>
      <c r="I37" s="190">
        <f>'TABLE-4'!F39</f>
        <v>24478</v>
      </c>
      <c r="J37" s="190">
        <f>'TABLE-80'!N37</f>
        <v>172</v>
      </c>
      <c r="K37" s="190">
        <f t="shared" si="8"/>
        <v>0.7026717869106953</v>
      </c>
      <c r="L37" s="190">
        <f t="shared" si="12"/>
        <v>65753</v>
      </c>
      <c r="M37" s="190">
        <f t="shared" si="13"/>
        <v>1171</v>
      </c>
      <c r="N37" s="190">
        <f t="shared" si="5"/>
        <v>1.7809073350265388</v>
      </c>
    </row>
    <row r="38" spans="1:14" ht="12.75">
      <c r="A38" s="54">
        <v>31</v>
      </c>
      <c r="B38" s="190" t="s">
        <v>219</v>
      </c>
      <c r="C38" s="190">
        <f>'TABLE-4'!D40</f>
        <v>1117</v>
      </c>
      <c r="D38" s="190">
        <f>'TABLE-80'!F38</f>
        <v>0</v>
      </c>
      <c r="E38" s="190">
        <f t="shared" si="7"/>
        <v>0</v>
      </c>
      <c r="F38" s="190">
        <f>'TABLE-4'!E40</f>
        <v>0</v>
      </c>
      <c r="G38" s="190">
        <f>'TABLE-80'!J38</f>
        <v>0</v>
      </c>
      <c r="H38" s="190">
        <v>0</v>
      </c>
      <c r="I38" s="190">
        <f>'TABLE-4'!F40</f>
        <v>7896</v>
      </c>
      <c r="J38" s="190">
        <f>'TABLE-80'!N38</f>
        <v>0</v>
      </c>
      <c r="K38" s="190">
        <f t="shared" si="8"/>
        <v>0</v>
      </c>
      <c r="L38" s="190">
        <f t="shared" si="12"/>
        <v>9013</v>
      </c>
      <c r="M38" s="190">
        <f t="shared" si="13"/>
        <v>0</v>
      </c>
      <c r="N38" s="190">
        <f t="shared" si="5"/>
        <v>0</v>
      </c>
    </row>
    <row r="39" spans="1:14" ht="12.75">
      <c r="A39" s="54">
        <v>32</v>
      </c>
      <c r="B39" s="190" t="s">
        <v>220</v>
      </c>
      <c r="C39" s="190">
        <f>'TABLE-4'!D41</f>
        <v>363</v>
      </c>
      <c r="D39" s="190">
        <f>'TABLE-80'!F39</f>
        <v>18</v>
      </c>
      <c r="E39" s="190">
        <f t="shared" si="7"/>
        <v>4.958677685950414</v>
      </c>
      <c r="F39" s="190">
        <f>'TABLE-4'!E41</f>
        <v>1116</v>
      </c>
      <c r="G39" s="190">
        <f>'TABLE-80'!J39</f>
        <v>39</v>
      </c>
      <c r="H39" s="190">
        <f t="shared" si="2"/>
        <v>3.494623655913978</v>
      </c>
      <c r="I39" s="190">
        <f>'TABLE-4'!F41</f>
        <v>1866</v>
      </c>
      <c r="J39" s="190">
        <f>'TABLE-80'!N39</f>
        <v>0</v>
      </c>
      <c r="K39" s="190">
        <f t="shared" si="8"/>
        <v>0</v>
      </c>
      <c r="L39" s="190">
        <f t="shared" si="12"/>
        <v>3345</v>
      </c>
      <c r="M39" s="190">
        <f t="shared" si="13"/>
        <v>57</v>
      </c>
      <c r="N39" s="190">
        <f t="shared" si="5"/>
        <v>1.7040358744394617</v>
      </c>
    </row>
    <row r="40" spans="1:14" ht="12.75">
      <c r="A40" s="110">
        <v>33</v>
      </c>
      <c r="B40" s="405" t="s">
        <v>363</v>
      </c>
      <c r="C40" s="190">
        <f>'TABLE-4'!D42</f>
        <v>2</v>
      </c>
      <c r="D40" s="190">
        <f>'TABLE-80'!F41</f>
        <v>0</v>
      </c>
      <c r="E40" s="190">
        <f t="shared" si="7"/>
        <v>0</v>
      </c>
      <c r="F40" s="190">
        <f>'TABLE-4'!E42</f>
        <v>58</v>
      </c>
      <c r="G40" s="190">
        <f>'TABLE-80'!J41</f>
        <v>0</v>
      </c>
      <c r="H40" s="190">
        <f t="shared" si="2"/>
        <v>0</v>
      </c>
      <c r="I40" s="190">
        <f>'TABLE-4'!F42</f>
        <v>610</v>
      </c>
      <c r="J40" s="190">
        <f>'TABLE-80'!N41</f>
        <v>0</v>
      </c>
      <c r="K40" s="190">
        <f t="shared" si="8"/>
        <v>0</v>
      </c>
      <c r="L40" s="190">
        <f t="shared" si="12"/>
        <v>670</v>
      </c>
      <c r="M40" s="190">
        <f t="shared" si="13"/>
        <v>0</v>
      </c>
      <c r="N40" s="190">
        <f t="shared" si="5"/>
        <v>0</v>
      </c>
    </row>
    <row r="41" spans="1:14" ht="12.75">
      <c r="A41" s="54">
        <v>34</v>
      </c>
      <c r="B41" s="190" t="s">
        <v>242</v>
      </c>
      <c r="C41" s="190">
        <f>'TABLE-4'!D43</f>
        <v>0</v>
      </c>
      <c r="D41" s="190">
        <f>'TABLE-80'!F41</f>
        <v>0</v>
      </c>
      <c r="E41" s="190">
        <v>0</v>
      </c>
      <c r="F41" s="190">
        <f>'TABLE-4'!E43</f>
        <v>0</v>
      </c>
      <c r="G41" s="190">
        <f>'TABLE-80'!J41</f>
        <v>0</v>
      </c>
      <c r="H41" s="190">
        <v>0</v>
      </c>
      <c r="I41" s="190">
        <f>'TABLE-4'!F43</f>
        <v>341</v>
      </c>
      <c r="J41" s="190">
        <f>'TABLE-80'!N41</f>
        <v>0</v>
      </c>
      <c r="K41" s="190">
        <f t="shared" si="8"/>
        <v>0</v>
      </c>
      <c r="L41" s="190">
        <f t="shared" si="12"/>
        <v>341</v>
      </c>
      <c r="M41" s="190">
        <f t="shared" si="13"/>
        <v>0</v>
      </c>
      <c r="N41" s="190">
        <f t="shared" si="5"/>
        <v>0</v>
      </c>
    </row>
    <row r="42" spans="1:14" ht="12.75">
      <c r="A42" s="54">
        <v>35</v>
      </c>
      <c r="B42" s="190" t="s">
        <v>256</v>
      </c>
      <c r="C42" s="190">
        <f>'TABLE-4'!D44</f>
        <v>695</v>
      </c>
      <c r="D42" s="190">
        <f>'TABLE-80'!F42</f>
        <v>0</v>
      </c>
      <c r="E42" s="190">
        <f t="shared" si="7"/>
        <v>0</v>
      </c>
      <c r="F42" s="190">
        <f>'TABLE-4'!E44</f>
        <v>2113</v>
      </c>
      <c r="G42" s="190">
        <f>'TABLE-80'!J42</f>
        <v>2</v>
      </c>
      <c r="H42" s="190">
        <f t="shared" si="2"/>
        <v>0.09465215333648841</v>
      </c>
      <c r="I42" s="190">
        <f>'TABLE-4'!F44</f>
        <v>550</v>
      </c>
      <c r="J42" s="190">
        <f>'TABLE-80'!N42</f>
        <v>8</v>
      </c>
      <c r="K42" s="190">
        <f t="shared" si="8"/>
        <v>1.4545454545454546</v>
      </c>
      <c r="L42" s="190">
        <f t="shared" si="12"/>
        <v>3358</v>
      </c>
      <c r="M42" s="190">
        <f t="shared" si="13"/>
        <v>10</v>
      </c>
      <c r="N42" s="190">
        <f t="shared" si="5"/>
        <v>0.29779630732578916</v>
      </c>
    </row>
    <row r="43" spans="1:14" ht="12.75">
      <c r="A43" s="54">
        <v>36</v>
      </c>
      <c r="B43" s="190" t="s">
        <v>24</v>
      </c>
      <c r="C43" s="190">
        <f>'TABLE-4'!D45</f>
        <v>99</v>
      </c>
      <c r="D43" s="190">
        <f>'TABLE-80'!F43</f>
        <v>73</v>
      </c>
      <c r="E43" s="190">
        <f t="shared" si="7"/>
        <v>73.73737373737373</v>
      </c>
      <c r="F43" s="190">
        <f>'TABLE-4'!E45</f>
        <v>1205</v>
      </c>
      <c r="G43" s="190">
        <f>'TABLE-80'!J43</f>
        <v>114</v>
      </c>
      <c r="H43" s="190">
        <f t="shared" si="2"/>
        <v>9.46058091286307</v>
      </c>
      <c r="I43" s="190">
        <f>'TABLE-4'!F45</f>
        <v>991</v>
      </c>
      <c r="J43" s="190">
        <f>'TABLE-80'!N43</f>
        <v>48</v>
      </c>
      <c r="K43" s="190">
        <f t="shared" si="8"/>
        <v>4.843592330978809</v>
      </c>
      <c r="L43" s="190">
        <f t="shared" si="12"/>
        <v>2295</v>
      </c>
      <c r="M43" s="190">
        <f t="shared" si="13"/>
        <v>235</v>
      </c>
      <c r="N43" s="190">
        <f t="shared" si="5"/>
        <v>10.239651416122005</v>
      </c>
    </row>
    <row r="44" spans="1:14" ht="12.75">
      <c r="A44" s="54">
        <v>37</v>
      </c>
      <c r="B44" s="190" t="s">
        <v>223</v>
      </c>
      <c r="C44" s="190">
        <f>'TABLE-4'!D46</f>
        <v>1024</v>
      </c>
      <c r="D44" s="190">
        <f>'TABLE-80'!F44</f>
        <v>0</v>
      </c>
      <c r="E44" s="190">
        <f t="shared" si="7"/>
        <v>0</v>
      </c>
      <c r="F44" s="190">
        <f>'TABLE-4'!E46</f>
        <v>0</v>
      </c>
      <c r="G44" s="190">
        <f>'TABLE-80'!J44</f>
        <v>0</v>
      </c>
      <c r="H44" s="190">
        <v>0</v>
      </c>
      <c r="I44" s="190">
        <f>'TABLE-4'!F46</f>
        <v>41</v>
      </c>
      <c r="J44" s="190">
        <f>'TABLE-80'!N44</f>
        <v>10</v>
      </c>
      <c r="K44" s="190">
        <f t="shared" si="8"/>
        <v>24.390243902439025</v>
      </c>
      <c r="L44" s="190">
        <f t="shared" si="12"/>
        <v>1065</v>
      </c>
      <c r="M44" s="190">
        <f>D44+G44+J44</f>
        <v>10</v>
      </c>
      <c r="N44" s="190">
        <f t="shared" si="5"/>
        <v>0.9389671361502347</v>
      </c>
    </row>
    <row r="45" spans="1:14" ht="12.75">
      <c r="A45" s="54">
        <v>38</v>
      </c>
      <c r="B45" s="190" t="s">
        <v>364</v>
      </c>
      <c r="C45" s="190">
        <f>'TABLE-4'!D47</f>
        <v>13</v>
      </c>
      <c r="D45" s="190">
        <f>'TABLE-80'!F45</f>
        <v>0</v>
      </c>
      <c r="E45" s="190">
        <f t="shared" si="7"/>
        <v>0</v>
      </c>
      <c r="F45" s="190">
        <f>'TABLE-4'!E47</f>
        <v>8</v>
      </c>
      <c r="G45" s="190">
        <f>'TABLE-80'!J45</f>
        <v>0</v>
      </c>
      <c r="H45" s="190">
        <f t="shared" si="2"/>
        <v>0</v>
      </c>
      <c r="I45" s="190">
        <f>'TABLE-4'!F47</f>
        <v>110</v>
      </c>
      <c r="J45" s="190">
        <f>'TABLE-80'!N45</f>
        <v>0</v>
      </c>
      <c r="K45" s="190">
        <f t="shared" si="8"/>
        <v>0</v>
      </c>
      <c r="L45" s="190">
        <f t="shared" si="12"/>
        <v>131</v>
      </c>
      <c r="M45" s="190">
        <f>D45+G45+J45</f>
        <v>0</v>
      </c>
      <c r="N45" s="190">
        <f t="shared" si="5"/>
        <v>0</v>
      </c>
    </row>
    <row r="46" spans="1:14" ht="12.75">
      <c r="A46" s="54">
        <v>39</v>
      </c>
      <c r="B46" s="190" t="s">
        <v>365</v>
      </c>
      <c r="C46" s="190">
        <f>'TABLE-4'!D48</f>
        <v>20915</v>
      </c>
      <c r="D46" s="190">
        <f>'TABLE-80'!F46</f>
        <v>1050</v>
      </c>
      <c r="E46" s="190">
        <f t="shared" si="7"/>
        <v>5.020320344250538</v>
      </c>
      <c r="F46" s="190">
        <f>'TABLE-4'!E48</f>
        <v>11491</v>
      </c>
      <c r="G46" s="190">
        <f>'TABLE-80'!J46</f>
        <v>439</v>
      </c>
      <c r="H46" s="190">
        <f t="shared" si="2"/>
        <v>3.8203811678705075</v>
      </c>
      <c r="I46" s="190">
        <f>'TABLE-4'!F48</f>
        <v>13352</v>
      </c>
      <c r="J46" s="190">
        <f>'TABLE-80'!N46</f>
        <v>0</v>
      </c>
      <c r="K46" s="190">
        <f t="shared" si="8"/>
        <v>0</v>
      </c>
      <c r="L46" s="190">
        <f t="shared" si="12"/>
        <v>45758</v>
      </c>
      <c r="M46" s="190">
        <f t="shared" si="13"/>
        <v>1489</v>
      </c>
      <c r="N46" s="190">
        <f t="shared" si="5"/>
        <v>3.2540757900257877</v>
      </c>
    </row>
    <row r="47" spans="1:14" s="199" customFormat="1" ht="14.25">
      <c r="A47" s="274"/>
      <c r="B47" s="197" t="s">
        <v>225</v>
      </c>
      <c r="C47" s="197">
        <f aca="true" t="shared" si="14" ref="C47:M47">SUM(C34:C46)</f>
        <v>159416</v>
      </c>
      <c r="D47" s="197">
        <f t="shared" si="14"/>
        <v>2072</v>
      </c>
      <c r="E47" s="198">
        <f t="shared" si="7"/>
        <v>1.2997440658403172</v>
      </c>
      <c r="F47" s="197">
        <f t="shared" si="14"/>
        <v>68346</v>
      </c>
      <c r="G47" s="197">
        <f t="shared" si="14"/>
        <v>794</v>
      </c>
      <c r="H47" s="198">
        <f t="shared" si="2"/>
        <v>1.1617358733503058</v>
      </c>
      <c r="I47" s="197">
        <f t="shared" si="14"/>
        <v>121359</v>
      </c>
      <c r="J47" s="197">
        <f t="shared" si="14"/>
        <v>480</v>
      </c>
      <c r="K47" s="198">
        <f t="shared" si="8"/>
        <v>0.39552072775813907</v>
      </c>
      <c r="L47" s="197">
        <f t="shared" si="14"/>
        <v>349121</v>
      </c>
      <c r="M47" s="197">
        <f t="shared" si="14"/>
        <v>3346</v>
      </c>
      <c r="N47" s="198">
        <f t="shared" si="5"/>
        <v>0.9584069706491446</v>
      </c>
    </row>
    <row r="48" spans="1:14" s="199" customFormat="1" ht="14.25">
      <c r="A48" s="274"/>
      <c r="B48" s="456" t="s">
        <v>123</v>
      </c>
      <c r="C48" s="197">
        <f>C25+C33+C47</f>
        <v>1904866</v>
      </c>
      <c r="D48" s="197">
        <f>D25+D33+D47</f>
        <v>57353</v>
      </c>
      <c r="E48" s="198">
        <f t="shared" si="7"/>
        <v>3.010867956066201</v>
      </c>
      <c r="F48" s="197">
        <f>F25+F33+F47</f>
        <v>829255</v>
      </c>
      <c r="G48" s="197">
        <f>G25+G33+G47</f>
        <v>64561</v>
      </c>
      <c r="H48" s="198">
        <f t="shared" si="2"/>
        <v>7.785421854556198</v>
      </c>
      <c r="I48" s="197">
        <f>I25+I33+I47</f>
        <v>929827</v>
      </c>
      <c r="J48" s="197">
        <f>J25+J33+J47</f>
        <v>43179</v>
      </c>
      <c r="K48" s="198">
        <f t="shared" si="8"/>
        <v>4.643767066346751</v>
      </c>
      <c r="L48" s="197">
        <f>L25+L33+L47</f>
        <v>3663948</v>
      </c>
      <c r="M48" s="197">
        <f>M25+M33+M47</f>
        <v>165093</v>
      </c>
      <c r="N48" s="198">
        <f t="shared" si="5"/>
        <v>4.505877266817106</v>
      </c>
    </row>
    <row r="49" spans="1:13" ht="19.5" customHeight="1">
      <c r="A49" s="272"/>
      <c r="B49" s="272"/>
      <c r="C49" s="191"/>
      <c r="D49" s="191" t="s">
        <v>36</v>
      </c>
      <c r="E49" s="191"/>
      <c r="F49" s="191"/>
      <c r="G49" s="191"/>
      <c r="H49" s="191"/>
      <c r="I49" s="191"/>
      <c r="J49" s="191"/>
      <c r="K49" s="191"/>
      <c r="L49" s="191"/>
      <c r="M49" s="191"/>
    </row>
    <row r="50" spans="1:13" ht="19.5" customHeight="1">
      <c r="A50" s="272"/>
      <c r="B50" s="272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1:13" ht="15" customHeight="1">
      <c r="A51" s="272"/>
      <c r="B51" s="272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4" ht="15.75" customHeight="1">
      <c r="A52" s="452" t="s">
        <v>4</v>
      </c>
      <c r="B52" s="453" t="s">
        <v>5</v>
      </c>
      <c r="C52" s="682" t="s">
        <v>120</v>
      </c>
      <c r="D52" s="683"/>
      <c r="E52" s="443"/>
      <c r="F52" s="682" t="s">
        <v>370</v>
      </c>
      <c r="G52" s="683"/>
      <c r="H52" s="443"/>
      <c r="I52" s="682" t="s">
        <v>62</v>
      </c>
      <c r="J52" s="683"/>
      <c r="K52" s="443"/>
      <c r="L52" s="682" t="s">
        <v>255</v>
      </c>
      <c r="M52" s="683"/>
      <c r="N52" s="455"/>
    </row>
    <row r="53" spans="1:14" ht="12.75">
      <c r="A53" s="440"/>
      <c r="B53" s="440"/>
      <c r="C53" s="444" t="s">
        <v>266</v>
      </c>
      <c r="D53" s="444" t="s">
        <v>233</v>
      </c>
      <c r="E53" s="444" t="s">
        <v>286</v>
      </c>
      <c r="F53" s="444" t="s">
        <v>266</v>
      </c>
      <c r="G53" s="444" t="s">
        <v>233</v>
      </c>
      <c r="H53" s="444" t="s">
        <v>286</v>
      </c>
      <c r="I53" s="444" t="s">
        <v>266</v>
      </c>
      <c r="J53" s="444" t="s">
        <v>233</v>
      </c>
      <c r="K53" s="444" t="s">
        <v>286</v>
      </c>
      <c r="L53" s="444" t="s">
        <v>266</v>
      </c>
      <c r="M53" s="444" t="s">
        <v>233</v>
      </c>
      <c r="N53" s="444" t="s">
        <v>286</v>
      </c>
    </row>
    <row r="54" spans="1:14" ht="15.75" customHeight="1">
      <c r="A54" s="54">
        <v>40</v>
      </c>
      <c r="B54" s="57" t="s">
        <v>78</v>
      </c>
      <c r="C54" s="190">
        <f>'TABLE-4'!D58</f>
        <v>18335</v>
      </c>
      <c r="D54" s="190">
        <f>'TABLE-80'!F54</f>
        <v>0</v>
      </c>
      <c r="E54" s="190">
        <f aca="true" t="shared" si="15" ref="E54:E67">D54/C54*100</f>
        <v>0</v>
      </c>
      <c r="F54" s="190">
        <f>'TABLE-4'!E58</f>
        <v>325</v>
      </c>
      <c r="G54" s="190">
        <f>'TABLE-80'!J54</f>
        <v>0</v>
      </c>
      <c r="H54" s="190">
        <f aca="true" t="shared" si="16" ref="H54:H67">G54/F54*100</f>
        <v>0</v>
      </c>
      <c r="I54" s="190">
        <f>'TABLE-4'!F58</f>
        <v>5440</v>
      </c>
      <c r="J54" s="190">
        <f>'TABLE-80'!N54</f>
        <v>0</v>
      </c>
      <c r="K54" s="190">
        <f aca="true" t="shared" si="17" ref="K54:K67">J54/I54*100</f>
        <v>0</v>
      </c>
      <c r="L54" s="190">
        <f aca="true" t="shared" si="18" ref="L54:L61">C54+F54+I54</f>
        <v>24100</v>
      </c>
      <c r="M54" s="190">
        <f aca="true" t="shared" si="19" ref="M54:M61">D54+G54+J54</f>
        <v>0</v>
      </c>
      <c r="N54" s="190">
        <f aca="true" t="shared" si="20" ref="N54:N67">M54/L54*100</f>
        <v>0</v>
      </c>
    </row>
    <row r="55" spans="1:14" ht="15.75" customHeight="1">
      <c r="A55" s="54">
        <v>41</v>
      </c>
      <c r="B55" s="57" t="s">
        <v>278</v>
      </c>
      <c r="C55" s="190">
        <f>'TABLE-4'!D59</f>
        <v>69247</v>
      </c>
      <c r="D55" s="190">
        <f>'TABLE-80'!F55</f>
        <v>648</v>
      </c>
      <c r="E55" s="190">
        <f t="shared" si="15"/>
        <v>0.9357806114344303</v>
      </c>
      <c r="F55" s="190">
        <f>'TABLE-4'!E59</f>
        <v>9529</v>
      </c>
      <c r="G55" s="190">
        <f>'TABLE-80'!J55</f>
        <v>1262</v>
      </c>
      <c r="H55" s="190">
        <f t="shared" si="16"/>
        <v>13.243782138734389</v>
      </c>
      <c r="I55" s="190">
        <f>'TABLE-4'!F59</f>
        <v>11514</v>
      </c>
      <c r="J55" s="190">
        <f>'TABLE-80'!N55</f>
        <v>330</v>
      </c>
      <c r="K55" s="190">
        <f t="shared" si="17"/>
        <v>2.86607608129234</v>
      </c>
      <c r="L55" s="190">
        <f t="shared" si="18"/>
        <v>90290</v>
      </c>
      <c r="M55" s="190">
        <f t="shared" si="19"/>
        <v>2240</v>
      </c>
      <c r="N55" s="190">
        <f t="shared" si="20"/>
        <v>2.480894894229704</v>
      </c>
    </row>
    <row r="56" spans="1:14" ht="15.75" customHeight="1">
      <c r="A56" s="54">
        <v>42</v>
      </c>
      <c r="B56" s="57" t="s">
        <v>30</v>
      </c>
      <c r="C56" s="190">
        <f>'TABLE-4'!D60</f>
        <v>4606</v>
      </c>
      <c r="D56" s="190">
        <f>'TABLE-80'!F56</f>
        <v>400</v>
      </c>
      <c r="E56" s="190">
        <f t="shared" si="15"/>
        <v>8.684324793747287</v>
      </c>
      <c r="F56" s="190">
        <f>'TABLE-4'!E60</f>
        <v>828</v>
      </c>
      <c r="G56" s="190">
        <f>'TABLE-80'!J56</f>
        <v>0</v>
      </c>
      <c r="H56" s="190">
        <f t="shared" si="16"/>
        <v>0</v>
      </c>
      <c r="I56" s="190">
        <f>'TABLE-4'!F60</f>
        <v>1085</v>
      </c>
      <c r="J56" s="190">
        <f>'TABLE-80'!N56</f>
        <v>130</v>
      </c>
      <c r="K56" s="190">
        <f t="shared" si="17"/>
        <v>11.981566820276496</v>
      </c>
      <c r="L56" s="190">
        <f t="shared" si="18"/>
        <v>6519</v>
      </c>
      <c r="M56" s="190">
        <f t="shared" si="19"/>
        <v>530</v>
      </c>
      <c r="N56" s="190">
        <f t="shared" si="20"/>
        <v>8.130081300813007</v>
      </c>
    </row>
    <row r="57" spans="1:14" ht="15.75" customHeight="1">
      <c r="A57" s="54">
        <v>43</v>
      </c>
      <c r="B57" s="57" t="s">
        <v>234</v>
      </c>
      <c r="C57" s="190">
        <f>'TABLE-4'!D61</f>
        <v>86244</v>
      </c>
      <c r="D57" s="190">
        <f>'TABLE-80'!F57</f>
        <v>847</v>
      </c>
      <c r="E57" s="190">
        <f t="shared" si="15"/>
        <v>0.9820973053197903</v>
      </c>
      <c r="F57" s="190">
        <f>'TABLE-4'!E61</f>
        <v>7400</v>
      </c>
      <c r="G57" s="190">
        <f>'TABLE-80'!J57</f>
        <v>180</v>
      </c>
      <c r="H57" s="190">
        <f t="shared" si="16"/>
        <v>2.4324324324324325</v>
      </c>
      <c r="I57" s="190">
        <f>'TABLE-4'!F61</f>
        <v>3940</v>
      </c>
      <c r="J57" s="190">
        <f>'TABLE-80'!N57</f>
        <v>193</v>
      </c>
      <c r="K57" s="190">
        <f t="shared" si="17"/>
        <v>4.898477157360406</v>
      </c>
      <c r="L57" s="190">
        <f t="shared" si="18"/>
        <v>97584</v>
      </c>
      <c r="M57" s="190">
        <f t="shared" si="19"/>
        <v>1220</v>
      </c>
      <c r="N57" s="190">
        <f t="shared" si="20"/>
        <v>1.250204951631415</v>
      </c>
    </row>
    <row r="58" spans="1:14" ht="15.75" customHeight="1">
      <c r="A58" s="54">
        <v>44</v>
      </c>
      <c r="B58" s="57" t="s">
        <v>29</v>
      </c>
      <c r="C58" s="190">
        <f>'TABLE-4'!D62</f>
        <v>8188</v>
      </c>
      <c r="D58" s="190">
        <f>'TABLE-80'!F58</f>
        <v>360</v>
      </c>
      <c r="E58" s="190">
        <f t="shared" si="15"/>
        <v>4.396678065461651</v>
      </c>
      <c r="F58" s="190">
        <f>'TABLE-4'!E62</f>
        <v>725</v>
      </c>
      <c r="G58" s="190">
        <f>'TABLE-80'!J58</f>
        <v>215</v>
      </c>
      <c r="H58" s="190">
        <f t="shared" si="16"/>
        <v>29.655172413793103</v>
      </c>
      <c r="I58" s="190">
        <f>'TABLE-4'!F62</f>
        <v>6184</v>
      </c>
      <c r="J58" s="190">
        <f>'TABLE-80'!N58</f>
        <v>697</v>
      </c>
      <c r="K58" s="190">
        <f t="shared" si="17"/>
        <v>11.271021992238033</v>
      </c>
      <c r="L58" s="190">
        <f t="shared" si="18"/>
        <v>15097</v>
      </c>
      <c r="M58" s="190">
        <f t="shared" si="19"/>
        <v>1272</v>
      </c>
      <c r="N58" s="190">
        <f t="shared" si="20"/>
        <v>8.425515002980724</v>
      </c>
    </row>
    <row r="59" spans="1:14" ht="15.75" customHeight="1">
      <c r="A59" s="54">
        <v>45</v>
      </c>
      <c r="B59" s="57" t="s">
        <v>391</v>
      </c>
      <c r="C59" s="190">
        <f>'TABLE-4'!D63</f>
        <v>99826</v>
      </c>
      <c r="D59" s="190">
        <f>'TABLE-80'!F59</f>
        <v>7534</v>
      </c>
      <c r="E59" s="190">
        <f t="shared" si="15"/>
        <v>7.547132009696872</v>
      </c>
      <c r="F59" s="190">
        <f>'TABLE-4'!E63</f>
        <v>7303</v>
      </c>
      <c r="G59" s="190">
        <f>'TABLE-80'!J59</f>
        <v>1233</v>
      </c>
      <c r="H59" s="190">
        <f t="shared" si="16"/>
        <v>16.883472545529234</v>
      </c>
      <c r="I59" s="190">
        <f>'TABLE-4'!F63</f>
        <v>16431</v>
      </c>
      <c r="J59" s="190">
        <f>'TABLE-80'!N59</f>
        <v>2483</v>
      </c>
      <c r="K59" s="190">
        <f t="shared" si="17"/>
        <v>15.111679143083196</v>
      </c>
      <c r="L59" s="190">
        <f t="shared" si="18"/>
        <v>123560</v>
      </c>
      <c r="M59" s="190">
        <f t="shared" si="19"/>
        <v>11250</v>
      </c>
      <c r="N59" s="190">
        <f t="shared" si="20"/>
        <v>9.104888313370022</v>
      </c>
    </row>
    <row r="60" spans="1:14" ht="15.75" customHeight="1">
      <c r="A60" s="54">
        <v>46</v>
      </c>
      <c r="B60" s="57" t="s">
        <v>25</v>
      </c>
      <c r="C60" s="190">
        <f>'TABLE-4'!D64</f>
        <v>11970</v>
      </c>
      <c r="D60" s="190">
        <f>'TABLE-80'!F60</f>
        <v>334</v>
      </c>
      <c r="E60" s="190">
        <f t="shared" si="15"/>
        <v>2.79030910609858</v>
      </c>
      <c r="F60" s="190">
        <f>'TABLE-4'!E64</f>
        <v>301</v>
      </c>
      <c r="G60" s="190">
        <f>'TABLE-80'!J60</f>
        <v>17</v>
      </c>
      <c r="H60" s="190">
        <f t="shared" si="16"/>
        <v>5.647840531561462</v>
      </c>
      <c r="I60" s="190">
        <f>'TABLE-4'!F64</f>
        <v>1207</v>
      </c>
      <c r="J60" s="190">
        <f>'TABLE-80'!N60</f>
        <v>133</v>
      </c>
      <c r="K60" s="190">
        <f t="shared" si="17"/>
        <v>11.019055509527755</v>
      </c>
      <c r="L60" s="190">
        <f t="shared" si="18"/>
        <v>13478</v>
      </c>
      <c r="M60" s="190">
        <f t="shared" si="19"/>
        <v>484</v>
      </c>
      <c r="N60" s="190">
        <f t="shared" si="20"/>
        <v>3.591037245882178</v>
      </c>
    </row>
    <row r="61" spans="1:14" ht="15.75" customHeight="1">
      <c r="A61" s="54">
        <v>47</v>
      </c>
      <c r="B61" s="57" t="s">
        <v>28</v>
      </c>
      <c r="C61" s="190">
        <f>'TABLE-4'!D65</f>
        <v>9495</v>
      </c>
      <c r="D61" s="190">
        <f>'TABLE-80'!F61</f>
        <v>41</v>
      </c>
      <c r="E61" s="190">
        <f t="shared" si="15"/>
        <v>0.4318062137967351</v>
      </c>
      <c r="F61" s="190">
        <f>'TABLE-4'!E65</f>
        <v>995</v>
      </c>
      <c r="G61" s="190">
        <f>'TABLE-80'!J61</f>
        <v>62</v>
      </c>
      <c r="H61" s="190">
        <f t="shared" si="16"/>
        <v>6.231155778894473</v>
      </c>
      <c r="I61" s="190">
        <f>'TABLE-4'!F65</f>
        <v>3843</v>
      </c>
      <c r="J61" s="190">
        <f>'TABLE-80'!N61</f>
        <v>103</v>
      </c>
      <c r="K61" s="190">
        <f t="shared" si="17"/>
        <v>2.6801977621649753</v>
      </c>
      <c r="L61" s="190">
        <f t="shared" si="18"/>
        <v>14333</v>
      </c>
      <c r="M61" s="190">
        <f t="shared" si="19"/>
        <v>206</v>
      </c>
      <c r="N61" s="190">
        <f t="shared" si="20"/>
        <v>1.4372427265750367</v>
      </c>
    </row>
    <row r="62" spans="1:14" s="199" customFormat="1" ht="15.75" customHeight="1">
      <c r="A62" s="54"/>
      <c r="B62" s="456" t="s">
        <v>123</v>
      </c>
      <c r="C62" s="197">
        <f>SUM(C54:C61)</f>
        <v>307911</v>
      </c>
      <c r="D62" s="197">
        <f>SUM(D54:D61)</f>
        <v>10164</v>
      </c>
      <c r="E62" s="197">
        <f t="shared" si="15"/>
        <v>3.300953847053207</v>
      </c>
      <c r="F62" s="197">
        <f>SUM(F54:F61)</f>
        <v>27406</v>
      </c>
      <c r="G62" s="197">
        <f>SUM(G54:G61)</f>
        <v>2969</v>
      </c>
      <c r="H62" s="197">
        <f t="shared" si="16"/>
        <v>10.833394147267022</v>
      </c>
      <c r="I62" s="197">
        <f>SUM(I54:I61)</f>
        <v>49644</v>
      </c>
      <c r="J62" s="197">
        <f>SUM(J54:J61)</f>
        <v>4069</v>
      </c>
      <c r="K62" s="197">
        <f t="shared" si="17"/>
        <v>8.196358069454517</v>
      </c>
      <c r="L62" s="197">
        <f>SUM(L54:L61)</f>
        <v>384961</v>
      </c>
      <c r="M62" s="197">
        <f>SUM(M54:M61)</f>
        <v>17202</v>
      </c>
      <c r="N62" s="197">
        <f t="shared" si="20"/>
        <v>4.468504601764854</v>
      </c>
    </row>
    <row r="63" spans="1:14" ht="15.75" customHeight="1">
      <c r="A63" s="54"/>
      <c r="B63" s="98" t="s">
        <v>36</v>
      </c>
      <c r="C63" s="190" t="s">
        <v>36</v>
      </c>
      <c r="D63" s="190" t="s">
        <v>36</v>
      </c>
      <c r="E63" s="190" t="s">
        <v>36</v>
      </c>
      <c r="F63" s="190" t="s">
        <v>36</v>
      </c>
      <c r="G63" s="190" t="s">
        <v>36</v>
      </c>
      <c r="H63" s="408" t="s">
        <v>36</v>
      </c>
      <c r="I63" s="190">
        <f>'TABLE-4'!F67</f>
        <v>0</v>
      </c>
      <c r="J63" s="190" t="s">
        <v>36</v>
      </c>
      <c r="K63" s="408" t="s">
        <v>36</v>
      </c>
      <c r="L63" s="190"/>
      <c r="M63" s="190" t="s">
        <v>36</v>
      </c>
      <c r="N63" s="408" t="s">
        <v>36</v>
      </c>
    </row>
    <row r="64" spans="1:14" ht="15.75" customHeight="1">
      <c r="A64" s="54">
        <v>48</v>
      </c>
      <c r="B64" s="190" t="s">
        <v>34</v>
      </c>
      <c r="C64" s="190">
        <f>'TABLE-4'!D68</f>
        <v>485421</v>
      </c>
      <c r="D64" s="190">
        <f>'TABLE-80'!F64</f>
        <v>9338</v>
      </c>
      <c r="E64" s="190">
        <f t="shared" si="15"/>
        <v>1.923690981642739</v>
      </c>
      <c r="F64" s="190">
        <f>'TABLE-4'!E68</f>
        <v>0</v>
      </c>
      <c r="G64" s="190">
        <f>'TABLE-80'!J64</f>
        <v>0</v>
      </c>
      <c r="H64" s="408">
        <v>0</v>
      </c>
      <c r="I64" s="190">
        <f>'TABLE-4'!F68</f>
        <v>54193</v>
      </c>
      <c r="J64" s="190">
        <f>'TABLE-80'!N64</f>
        <v>0</v>
      </c>
      <c r="K64" s="190">
        <f t="shared" si="17"/>
        <v>0</v>
      </c>
      <c r="L64" s="190">
        <f>C64+F64+I64</f>
        <v>539614</v>
      </c>
      <c r="M64" s="190">
        <f>D64+G64+J64</f>
        <v>9338</v>
      </c>
      <c r="N64" s="190">
        <f t="shared" si="20"/>
        <v>1.7304962436111742</v>
      </c>
    </row>
    <row r="65" spans="1:14" ht="15.75" customHeight="1">
      <c r="A65" s="54">
        <v>49</v>
      </c>
      <c r="B65" s="190" t="s">
        <v>130</v>
      </c>
      <c r="C65" s="190">
        <f>'TABLE-4'!D69</f>
        <v>119444</v>
      </c>
      <c r="D65" s="190">
        <f>'TABLE-80'!F65</f>
        <v>0</v>
      </c>
      <c r="E65" s="190">
        <f t="shared" si="15"/>
        <v>0</v>
      </c>
      <c r="F65" s="190">
        <f>'TABLE-4'!E69</f>
        <v>0</v>
      </c>
      <c r="G65" s="190">
        <f>'TABLE-80'!J65</f>
        <v>0</v>
      </c>
      <c r="H65" s="190">
        <v>0</v>
      </c>
      <c r="I65" s="190">
        <f>'TABLE-4'!F69</f>
        <v>425</v>
      </c>
      <c r="J65" s="190">
        <f>'TABLE-80'!N65</f>
        <v>0</v>
      </c>
      <c r="K65" s="190">
        <f t="shared" si="17"/>
        <v>0</v>
      </c>
      <c r="L65" s="190">
        <f>C65+F65+I65</f>
        <v>119869</v>
      </c>
      <c r="M65" s="190">
        <f>D65+G65+J65</f>
        <v>0</v>
      </c>
      <c r="N65" s="190">
        <f t="shared" si="20"/>
        <v>0</v>
      </c>
    </row>
    <row r="66" spans="1:14" s="200" customFormat="1" ht="15.75" customHeight="1">
      <c r="A66" s="456"/>
      <c r="B66" s="456" t="s">
        <v>123</v>
      </c>
      <c r="C66" s="197">
        <f>SUM(C64:C65)</f>
        <v>604865</v>
      </c>
      <c r="D66" s="197">
        <f aca="true" t="shared" si="21" ref="D66:M66">SUM(D64:D65)</f>
        <v>9338</v>
      </c>
      <c r="E66" s="197">
        <f t="shared" si="15"/>
        <v>1.5438155621502319</v>
      </c>
      <c r="F66" s="197">
        <f t="shared" si="21"/>
        <v>0</v>
      </c>
      <c r="G66" s="197">
        <f t="shared" si="21"/>
        <v>0</v>
      </c>
      <c r="H66" s="197">
        <v>0</v>
      </c>
      <c r="I66" s="197">
        <f t="shared" si="21"/>
        <v>54618</v>
      </c>
      <c r="J66" s="197">
        <f t="shared" si="21"/>
        <v>0</v>
      </c>
      <c r="K66" s="197">
        <f t="shared" si="17"/>
        <v>0</v>
      </c>
      <c r="L66" s="197">
        <f t="shared" si="21"/>
        <v>659483</v>
      </c>
      <c r="M66" s="197">
        <f t="shared" si="21"/>
        <v>9338</v>
      </c>
      <c r="N66" s="197">
        <f t="shared" si="20"/>
        <v>1.4159576516756307</v>
      </c>
    </row>
    <row r="67" spans="1:14" s="200" customFormat="1" ht="15.75" customHeight="1">
      <c r="A67" s="456"/>
      <c r="B67" s="456" t="s">
        <v>35</v>
      </c>
      <c r="C67" s="197">
        <f>C48+C62+C66</f>
        <v>2817642</v>
      </c>
      <c r="D67" s="197">
        <f>'TABLE-80'!F67</f>
        <v>76855</v>
      </c>
      <c r="E67" s="197">
        <f t="shared" si="15"/>
        <v>2.7276353773829323</v>
      </c>
      <c r="F67" s="197">
        <f>F48+F62+F66</f>
        <v>856661</v>
      </c>
      <c r="G67" s="197">
        <f>'TABLE-80'!J67</f>
        <v>67530</v>
      </c>
      <c r="H67" s="197">
        <f t="shared" si="16"/>
        <v>7.882931521336911</v>
      </c>
      <c r="I67" s="197">
        <f>I48+I62+I66</f>
        <v>1034089</v>
      </c>
      <c r="J67" s="197">
        <f>J48+J62+J66</f>
        <v>47248</v>
      </c>
      <c r="K67" s="197">
        <f t="shared" si="17"/>
        <v>4.569045797798835</v>
      </c>
      <c r="L67" s="197">
        <f>L48+L62+L66</f>
        <v>4708392</v>
      </c>
      <c r="M67" s="197">
        <f>M48+M62+M66</f>
        <v>191633</v>
      </c>
      <c r="N67" s="197">
        <f t="shared" si="20"/>
        <v>4.07003070262629</v>
      </c>
    </row>
    <row r="68" spans="1:14" s="199" customFormat="1" ht="15.75" customHeight="1">
      <c r="A68" s="274"/>
      <c r="B68" s="274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275"/>
    </row>
    <row r="69" spans="1:14" ht="15.75" customHeight="1">
      <c r="A69" s="265"/>
      <c r="B69" s="276" t="s">
        <v>270</v>
      </c>
      <c r="C69" s="190"/>
      <c r="D69" s="264"/>
      <c r="E69" s="249">
        <f>(D67/C67)*100</f>
        <v>2.7276353773829323</v>
      </c>
      <c r="F69" s="190"/>
      <c r="G69" s="264"/>
      <c r="H69" s="249">
        <f>(G67/F67)*100</f>
        <v>7.882931521336911</v>
      </c>
      <c r="I69" s="190"/>
      <c r="J69" s="264"/>
      <c r="K69" s="249">
        <f>(J67/I67)*100</f>
        <v>4.569045797798835</v>
      </c>
      <c r="L69" s="190"/>
      <c r="M69" s="264"/>
      <c r="N69" s="249">
        <f>(M67/L67)*100</f>
        <v>4.07003070262629</v>
      </c>
    </row>
  </sheetData>
  <sheetProtection/>
  <mergeCells count="8">
    <mergeCell ref="C52:D52"/>
    <mergeCell ref="F52:G52"/>
    <mergeCell ref="I52:J52"/>
    <mergeCell ref="L52:M52"/>
    <mergeCell ref="C4:D4"/>
    <mergeCell ref="F4:G4"/>
    <mergeCell ref="I4:J4"/>
    <mergeCell ref="L4:M4"/>
  </mergeCells>
  <printOptions gridLines="1" horizontalCentered="1"/>
  <pageMargins left="0.75" right="0.75" top="0.42" bottom="0.64" header="0.35" footer="0.5"/>
  <pageSetup blackAndWhite="1" horizontalDpi="300" verticalDpi="300" orientation="landscape" paperSize="9" scale="80" r:id="rId2"/>
  <headerFooter alignWithMargins="0">
    <oddFooter xml:space="preserve">&amp;C&amp;"Arial,Bold" </oddFooter>
  </headerFooter>
  <rowBreaks count="1" manualBreakCount="1">
    <brk id="48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D49">
      <selection activeCell="M56" sqref="M56"/>
    </sheetView>
  </sheetViews>
  <sheetFormatPr defaultColWidth="9.140625" defaultRowHeight="12.75"/>
  <cols>
    <col min="1" max="1" width="3.7109375" style="117" customWidth="1"/>
    <col min="2" max="2" width="21.57421875" style="117" bestFit="1" customWidth="1"/>
    <col min="3" max="3" width="9.140625" style="127" customWidth="1"/>
    <col min="4" max="4" width="9.421875" style="127" customWidth="1"/>
    <col min="5" max="5" width="8.140625" style="127" customWidth="1"/>
    <col min="6" max="6" width="9.421875" style="127" customWidth="1"/>
    <col min="7" max="7" width="9.140625" style="99" customWidth="1"/>
    <col min="8" max="8" width="9.421875" style="99" customWidth="1"/>
    <col min="9" max="9" width="8.140625" style="127" customWidth="1"/>
    <col min="10" max="12" width="9.421875" style="127" customWidth="1"/>
    <col min="13" max="13" width="9.00390625" style="99" customWidth="1"/>
    <col min="14" max="14" width="9.421875" style="99" customWidth="1"/>
    <col min="15" max="15" width="9.140625" style="117" customWidth="1"/>
    <col min="16" max="16" width="9.140625" style="118" customWidth="1"/>
    <col min="17" max="16384" width="9.140625" style="117" customWidth="1"/>
  </cols>
  <sheetData>
    <row r="1" spans="1:14" ht="18" customHeight="1">
      <c r="A1" s="292"/>
      <c r="B1" s="292"/>
      <c r="C1" s="294"/>
      <c r="D1" s="294"/>
      <c r="M1" s="192"/>
      <c r="N1" s="192"/>
    </row>
    <row r="2" spans="3:9" ht="18" customHeight="1">
      <c r="C2" s="294"/>
      <c r="I2" s="293"/>
    </row>
    <row r="3" spans="3:14" ht="18" customHeight="1">
      <c r="C3" s="379" t="s">
        <v>36</v>
      </c>
      <c r="D3" s="379" t="s">
        <v>36</v>
      </c>
      <c r="E3" s="379" t="s">
        <v>36</v>
      </c>
      <c r="F3" s="379" t="s">
        <v>36</v>
      </c>
      <c r="G3" s="457" t="s">
        <v>36</v>
      </c>
      <c r="H3" s="457"/>
      <c r="I3" s="379" t="s">
        <v>36</v>
      </c>
      <c r="M3" s="192"/>
      <c r="N3" s="192"/>
    </row>
    <row r="4" spans="1:14" ht="13.5" customHeight="1">
      <c r="A4" s="380" t="s">
        <v>4</v>
      </c>
      <c r="B4" s="299" t="s">
        <v>5</v>
      </c>
      <c r="C4" s="688" t="s">
        <v>183</v>
      </c>
      <c r="D4" s="689"/>
      <c r="E4" s="692" t="s">
        <v>184</v>
      </c>
      <c r="F4" s="689"/>
      <c r="G4" s="684" t="s">
        <v>185</v>
      </c>
      <c r="H4" s="685"/>
      <c r="I4" s="692" t="s">
        <v>186</v>
      </c>
      <c r="J4" s="689"/>
      <c r="K4" s="692" t="s">
        <v>187</v>
      </c>
      <c r="L4" s="689"/>
      <c r="M4" s="684" t="s">
        <v>189</v>
      </c>
      <c r="N4" s="685"/>
    </row>
    <row r="5" spans="1:14" ht="12.75">
      <c r="A5" s="381" t="s">
        <v>6</v>
      </c>
      <c r="B5" s="301"/>
      <c r="C5" s="690"/>
      <c r="D5" s="691"/>
      <c r="E5" s="693"/>
      <c r="F5" s="691"/>
      <c r="G5" s="686"/>
      <c r="H5" s="687"/>
      <c r="I5" s="693"/>
      <c r="J5" s="691"/>
      <c r="K5" s="693"/>
      <c r="L5" s="691"/>
      <c r="M5" s="686"/>
      <c r="N5" s="687"/>
    </row>
    <row r="6" spans="1:14" ht="12.75">
      <c r="A6" s="382"/>
      <c r="B6" s="350"/>
      <c r="C6" s="351" t="s">
        <v>57</v>
      </c>
      <c r="D6" s="351" t="s">
        <v>63</v>
      </c>
      <c r="E6" s="351" t="s">
        <v>57</v>
      </c>
      <c r="F6" s="351" t="s">
        <v>63</v>
      </c>
      <c r="G6" s="458" t="s">
        <v>57</v>
      </c>
      <c r="H6" s="458" t="s">
        <v>63</v>
      </c>
      <c r="I6" s="351" t="s">
        <v>57</v>
      </c>
      <c r="J6" s="351" t="s">
        <v>63</v>
      </c>
      <c r="K6" s="351" t="s">
        <v>57</v>
      </c>
      <c r="L6" s="351" t="s">
        <v>63</v>
      </c>
      <c r="M6" s="458" t="s">
        <v>57</v>
      </c>
      <c r="N6" s="458" t="s">
        <v>63</v>
      </c>
    </row>
    <row r="7" spans="1:19" ht="12.75">
      <c r="A7" s="305">
        <v>1</v>
      </c>
      <c r="B7" s="126" t="s">
        <v>7</v>
      </c>
      <c r="C7" s="126">
        <v>28519</v>
      </c>
      <c r="D7" s="126">
        <v>2689</v>
      </c>
      <c r="E7" s="126">
        <v>63</v>
      </c>
      <c r="F7" s="126">
        <v>32</v>
      </c>
      <c r="G7" s="264">
        <f>C7+E7</f>
        <v>28582</v>
      </c>
      <c r="H7" s="264">
        <f>D7+F7</f>
        <v>2721</v>
      </c>
      <c r="I7" s="126">
        <v>18</v>
      </c>
      <c r="J7" s="126">
        <v>16</v>
      </c>
      <c r="K7" s="126">
        <v>4</v>
      </c>
      <c r="L7" s="126">
        <v>6</v>
      </c>
      <c r="M7" s="264">
        <f>G7-I7-K7</f>
        <v>28560</v>
      </c>
      <c r="N7" s="264">
        <f>H7-J7-L7</f>
        <v>2699</v>
      </c>
      <c r="O7" s="127"/>
      <c r="P7" s="127"/>
      <c r="Q7" s="127"/>
      <c r="R7" s="127"/>
      <c r="S7" s="127"/>
    </row>
    <row r="8" spans="1:19" ht="12.75">
      <c r="A8" s="305">
        <v>2</v>
      </c>
      <c r="B8" s="126" t="s">
        <v>8</v>
      </c>
      <c r="C8" s="126">
        <v>438</v>
      </c>
      <c r="D8" s="126">
        <v>193</v>
      </c>
      <c r="E8" s="126">
        <v>0</v>
      </c>
      <c r="F8" s="126">
        <v>0</v>
      </c>
      <c r="G8" s="264">
        <f aca="true" t="shared" si="0" ref="G8:G25">C8+E8</f>
        <v>438</v>
      </c>
      <c r="H8" s="264">
        <f aca="true" t="shared" si="1" ref="H8:H25">D8+F8</f>
        <v>193</v>
      </c>
      <c r="I8" s="126">
        <v>0</v>
      </c>
      <c r="J8" s="126">
        <v>0</v>
      </c>
      <c r="K8" s="126">
        <v>0</v>
      </c>
      <c r="L8" s="126">
        <v>0</v>
      </c>
      <c r="M8" s="264">
        <f aca="true" t="shared" si="2" ref="M8:M25">G8-I8-K8</f>
        <v>438</v>
      </c>
      <c r="N8" s="264">
        <f aca="true" t="shared" si="3" ref="N8:N25">H8-J8-L8</f>
        <v>193</v>
      </c>
      <c r="O8" s="127"/>
      <c r="Q8" s="127"/>
      <c r="R8" s="127"/>
      <c r="S8" s="127"/>
    </row>
    <row r="9" spans="1:19" ht="12.75">
      <c r="A9" s="305">
        <v>3</v>
      </c>
      <c r="B9" s="126" t="s">
        <v>9</v>
      </c>
      <c r="C9" s="126">
        <v>20473</v>
      </c>
      <c r="D9" s="126">
        <v>2290</v>
      </c>
      <c r="E9" s="126">
        <v>37</v>
      </c>
      <c r="F9" s="126">
        <v>62</v>
      </c>
      <c r="G9" s="264">
        <f t="shared" si="0"/>
        <v>20510</v>
      </c>
      <c r="H9" s="264">
        <f t="shared" si="1"/>
        <v>2352</v>
      </c>
      <c r="I9" s="126">
        <v>14</v>
      </c>
      <c r="J9" s="126">
        <v>9</v>
      </c>
      <c r="K9" s="126">
        <v>0</v>
      </c>
      <c r="L9" s="126">
        <v>0</v>
      </c>
      <c r="M9" s="264">
        <f t="shared" si="2"/>
        <v>20496</v>
      </c>
      <c r="N9" s="264">
        <f t="shared" si="3"/>
        <v>2343</v>
      </c>
      <c r="O9" s="127"/>
      <c r="P9" s="127"/>
      <c r="Q9" s="127"/>
      <c r="R9" s="127"/>
      <c r="S9" s="127"/>
    </row>
    <row r="10" spans="1:19" ht="12.75">
      <c r="A10" s="305">
        <v>4</v>
      </c>
      <c r="B10" s="126" t="s">
        <v>10</v>
      </c>
      <c r="C10" s="126">
        <v>119613</v>
      </c>
      <c r="D10" s="126">
        <v>18445</v>
      </c>
      <c r="E10" s="126">
        <v>146</v>
      </c>
      <c r="F10" s="126">
        <v>157</v>
      </c>
      <c r="G10" s="264">
        <f t="shared" si="0"/>
        <v>119759</v>
      </c>
      <c r="H10" s="264">
        <f t="shared" si="1"/>
        <v>18602</v>
      </c>
      <c r="I10" s="126">
        <v>113</v>
      </c>
      <c r="J10" s="126">
        <v>132</v>
      </c>
      <c r="K10" s="126">
        <v>0</v>
      </c>
      <c r="L10" s="126">
        <v>0</v>
      </c>
      <c r="M10" s="264">
        <f t="shared" si="2"/>
        <v>119646</v>
      </c>
      <c r="N10" s="264">
        <f t="shared" si="3"/>
        <v>18470</v>
      </c>
      <c r="O10" s="127"/>
      <c r="P10" s="127"/>
      <c r="Q10" s="127"/>
      <c r="R10" s="127"/>
      <c r="S10" s="127"/>
    </row>
    <row r="11" spans="1:19" ht="12.75">
      <c r="A11" s="305">
        <v>5</v>
      </c>
      <c r="B11" s="126" t="s">
        <v>11</v>
      </c>
      <c r="C11" s="126">
        <v>11006</v>
      </c>
      <c r="D11" s="126">
        <v>1570</v>
      </c>
      <c r="E11" s="126">
        <v>2351</v>
      </c>
      <c r="F11" s="126">
        <v>587</v>
      </c>
      <c r="G11" s="264">
        <f t="shared" si="0"/>
        <v>13357</v>
      </c>
      <c r="H11" s="264">
        <f t="shared" si="1"/>
        <v>2157</v>
      </c>
      <c r="I11" s="126">
        <v>2351</v>
      </c>
      <c r="J11" s="126">
        <v>587</v>
      </c>
      <c r="K11" s="126">
        <v>0</v>
      </c>
      <c r="L11" s="126">
        <v>0</v>
      </c>
      <c r="M11" s="264">
        <f t="shared" si="2"/>
        <v>11006</v>
      </c>
      <c r="N11" s="264">
        <f t="shared" si="3"/>
        <v>1570</v>
      </c>
      <c r="O11" s="127"/>
      <c r="P11" s="127"/>
      <c r="Q11" s="127"/>
      <c r="R11" s="127"/>
      <c r="S11" s="127"/>
    </row>
    <row r="12" spans="1:19" ht="14.25" customHeight="1">
      <c r="A12" s="305">
        <v>6</v>
      </c>
      <c r="B12" s="126" t="s">
        <v>12</v>
      </c>
      <c r="C12" s="126">
        <v>963</v>
      </c>
      <c r="D12" s="126">
        <v>563</v>
      </c>
      <c r="E12" s="126">
        <v>214</v>
      </c>
      <c r="F12" s="126">
        <v>100</v>
      </c>
      <c r="G12" s="264">
        <f t="shared" si="0"/>
        <v>1177</v>
      </c>
      <c r="H12" s="264">
        <f t="shared" si="1"/>
        <v>663</v>
      </c>
      <c r="I12" s="126">
        <v>0</v>
      </c>
      <c r="J12" s="126">
        <v>0</v>
      </c>
      <c r="K12" s="126">
        <v>38</v>
      </c>
      <c r="L12" s="126">
        <v>356</v>
      </c>
      <c r="M12" s="264">
        <f t="shared" si="2"/>
        <v>1139</v>
      </c>
      <c r="N12" s="264">
        <f t="shared" si="3"/>
        <v>307</v>
      </c>
      <c r="O12" s="127"/>
      <c r="P12" s="127"/>
      <c r="Q12" s="127"/>
      <c r="R12" s="127"/>
      <c r="S12" s="127"/>
    </row>
    <row r="13" spans="1:19" s="103" customFormat="1" ht="12.75">
      <c r="A13" s="188">
        <v>7</v>
      </c>
      <c r="B13" s="145" t="s">
        <v>13</v>
      </c>
      <c r="C13" s="145">
        <v>105249</v>
      </c>
      <c r="D13" s="145">
        <v>24653</v>
      </c>
      <c r="E13" s="145">
        <v>825</v>
      </c>
      <c r="F13" s="145">
        <v>499</v>
      </c>
      <c r="G13" s="264">
        <f t="shared" si="0"/>
        <v>106074</v>
      </c>
      <c r="H13" s="264">
        <f t="shared" si="1"/>
        <v>25152</v>
      </c>
      <c r="I13" s="145">
        <v>367</v>
      </c>
      <c r="J13" s="145">
        <v>160</v>
      </c>
      <c r="K13" s="145">
        <v>112</v>
      </c>
      <c r="L13" s="145">
        <v>70</v>
      </c>
      <c r="M13" s="264">
        <f t="shared" si="2"/>
        <v>105595</v>
      </c>
      <c r="N13" s="264">
        <f t="shared" si="3"/>
        <v>24922</v>
      </c>
      <c r="O13" s="22"/>
      <c r="P13" s="22"/>
      <c r="Q13" s="22"/>
      <c r="R13" s="22"/>
      <c r="S13" s="22"/>
    </row>
    <row r="14" spans="1:19" s="103" customFormat="1" ht="12.75">
      <c r="A14" s="188">
        <v>8</v>
      </c>
      <c r="B14" s="145" t="s">
        <v>162</v>
      </c>
      <c r="C14" s="145">
        <v>195</v>
      </c>
      <c r="D14" s="145">
        <v>131</v>
      </c>
      <c r="E14" s="145">
        <v>0</v>
      </c>
      <c r="F14" s="145">
        <v>0</v>
      </c>
      <c r="G14" s="264">
        <f t="shared" si="0"/>
        <v>195</v>
      </c>
      <c r="H14" s="264">
        <f t="shared" si="1"/>
        <v>131</v>
      </c>
      <c r="I14" s="145">
        <v>0</v>
      </c>
      <c r="J14" s="145">
        <v>0</v>
      </c>
      <c r="K14" s="145">
        <v>0</v>
      </c>
      <c r="L14" s="145">
        <v>0</v>
      </c>
      <c r="M14" s="264">
        <f t="shared" si="2"/>
        <v>195</v>
      </c>
      <c r="N14" s="264">
        <f t="shared" si="3"/>
        <v>131</v>
      </c>
      <c r="O14" s="22"/>
      <c r="P14" s="22"/>
      <c r="Q14" s="22"/>
      <c r="R14" s="22"/>
      <c r="S14" s="22"/>
    </row>
    <row r="15" spans="1:19" ht="12.75">
      <c r="A15" s="305">
        <v>9</v>
      </c>
      <c r="B15" s="126" t="s">
        <v>14</v>
      </c>
      <c r="C15" s="126">
        <v>3155</v>
      </c>
      <c r="D15" s="126">
        <v>3101</v>
      </c>
      <c r="E15" s="126">
        <v>65</v>
      </c>
      <c r="F15" s="126">
        <v>42</v>
      </c>
      <c r="G15" s="264">
        <f t="shared" si="0"/>
        <v>3220</v>
      </c>
      <c r="H15" s="264">
        <f t="shared" si="1"/>
        <v>3143</v>
      </c>
      <c r="I15" s="126">
        <v>46</v>
      </c>
      <c r="J15" s="126">
        <v>4</v>
      </c>
      <c r="K15" s="126">
        <v>0</v>
      </c>
      <c r="L15" s="126">
        <v>0</v>
      </c>
      <c r="M15" s="264">
        <f t="shared" si="2"/>
        <v>3174</v>
      </c>
      <c r="N15" s="264">
        <f t="shared" si="3"/>
        <v>3139</v>
      </c>
      <c r="O15" s="127"/>
      <c r="P15" s="127"/>
      <c r="Q15" s="127"/>
      <c r="R15" s="127"/>
      <c r="S15" s="127"/>
    </row>
    <row r="16" spans="1:19" ht="12.75">
      <c r="A16" s="305">
        <v>10</v>
      </c>
      <c r="B16" s="126" t="s">
        <v>15</v>
      </c>
      <c r="C16" s="126">
        <v>1101</v>
      </c>
      <c r="D16" s="126">
        <v>659</v>
      </c>
      <c r="E16" s="126">
        <v>3</v>
      </c>
      <c r="F16" s="126">
        <v>1</v>
      </c>
      <c r="G16" s="264">
        <f t="shared" si="0"/>
        <v>1104</v>
      </c>
      <c r="H16" s="264">
        <f t="shared" si="1"/>
        <v>660</v>
      </c>
      <c r="I16" s="126">
        <v>5</v>
      </c>
      <c r="J16" s="126">
        <v>2</v>
      </c>
      <c r="K16" s="126">
        <v>83</v>
      </c>
      <c r="L16" s="126">
        <v>45</v>
      </c>
      <c r="M16" s="264">
        <f t="shared" si="2"/>
        <v>1016</v>
      </c>
      <c r="N16" s="264">
        <f t="shared" si="3"/>
        <v>613</v>
      </c>
      <c r="O16" s="127"/>
      <c r="P16" s="127"/>
      <c r="Q16" s="127"/>
      <c r="R16" s="127"/>
      <c r="S16" s="127"/>
    </row>
    <row r="17" spans="1:19" ht="12.75">
      <c r="A17" s="305">
        <v>11</v>
      </c>
      <c r="B17" s="126" t="s">
        <v>16</v>
      </c>
      <c r="C17" s="126">
        <v>666</v>
      </c>
      <c r="D17" s="126">
        <v>162</v>
      </c>
      <c r="E17" s="126">
        <v>0</v>
      </c>
      <c r="F17" s="126">
        <v>0</v>
      </c>
      <c r="G17" s="264">
        <f t="shared" si="0"/>
        <v>666</v>
      </c>
      <c r="H17" s="264">
        <f t="shared" si="1"/>
        <v>162</v>
      </c>
      <c r="I17" s="126">
        <v>0</v>
      </c>
      <c r="J17" s="126">
        <v>0</v>
      </c>
      <c r="K17" s="126">
        <v>0</v>
      </c>
      <c r="L17" s="126">
        <v>0</v>
      </c>
      <c r="M17" s="264">
        <f t="shared" si="2"/>
        <v>666</v>
      </c>
      <c r="N17" s="264">
        <f t="shared" si="3"/>
        <v>162</v>
      </c>
      <c r="O17" s="127"/>
      <c r="P17" s="127"/>
      <c r="Q17" s="127"/>
      <c r="R17" s="127"/>
      <c r="S17" s="127"/>
    </row>
    <row r="18" spans="1:19" ht="12.75">
      <c r="A18" s="305">
        <v>12</v>
      </c>
      <c r="B18" s="126" t="s">
        <v>17</v>
      </c>
      <c r="C18" s="126">
        <v>3042</v>
      </c>
      <c r="D18" s="126">
        <v>831</v>
      </c>
      <c r="E18" s="126">
        <v>95</v>
      </c>
      <c r="F18" s="126">
        <v>70</v>
      </c>
      <c r="G18" s="264">
        <f t="shared" si="0"/>
        <v>3137</v>
      </c>
      <c r="H18" s="264">
        <f t="shared" si="1"/>
        <v>901</v>
      </c>
      <c r="I18" s="126">
        <v>8</v>
      </c>
      <c r="J18" s="126">
        <v>9</v>
      </c>
      <c r="K18" s="126">
        <v>8</v>
      </c>
      <c r="L18" s="126">
        <v>9</v>
      </c>
      <c r="M18" s="264">
        <f t="shared" si="2"/>
        <v>3121</v>
      </c>
      <c r="N18" s="264">
        <f t="shared" si="3"/>
        <v>883</v>
      </c>
      <c r="O18" s="127"/>
      <c r="P18" s="127"/>
      <c r="Q18" s="127"/>
      <c r="R18" s="127"/>
      <c r="S18" s="127"/>
    </row>
    <row r="19" spans="1:19" ht="12.75">
      <c r="A19" s="305">
        <v>13</v>
      </c>
      <c r="B19" s="126" t="s">
        <v>164</v>
      </c>
      <c r="C19" s="126">
        <v>2979</v>
      </c>
      <c r="D19" s="126">
        <v>1897</v>
      </c>
      <c r="E19" s="126">
        <v>46</v>
      </c>
      <c r="F19" s="126">
        <v>58</v>
      </c>
      <c r="G19" s="264">
        <f t="shared" si="0"/>
        <v>3025</v>
      </c>
      <c r="H19" s="264">
        <f t="shared" si="1"/>
        <v>1955</v>
      </c>
      <c r="I19" s="126">
        <v>10</v>
      </c>
      <c r="J19" s="126">
        <v>29</v>
      </c>
      <c r="K19" s="126">
        <v>0</v>
      </c>
      <c r="L19" s="126">
        <v>0</v>
      </c>
      <c r="M19" s="264">
        <f t="shared" si="2"/>
        <v>3015</v>
      </c>
      <c r="N19" s="264">
        <f t="shared" si="3"/>
        <v>1926</v>
      </c>
      <c r="O19" s="127"/>
      <c r="P19" s="127"/>
      <c r="Q19" s="127"/>
      <c r="R19" s="127"/>
      <c r="S19" s="127"/>
    </row>
    <row r="20" spans="1:19" ht="12.75">
      <c r="A20" s="305">
        <v>14</v>
      </c>
      <c r="B20" s="126" t="s">
        <v>77</v>
      </c>
      <c r="C20" s="126">
        <v>35246</v>
      </c>
      <c r="D20" s="126">
        <v>7722</v>
      </c>
      <c r="E20" s="126">
        <v>122</v>
      </c>
      <c r="F20" s="126">
        <v>87</v>
      </c>
      <c r="G20" s="264">
        <f t="shared" si="0"/>
        <v>35368</v>
      </c>
      <c r="H20" s="264">
        <f t="shared" si="1"/>
        <v>7809</v>
      </c>
      <c r="I20" s="126">
        <v>2669</v>
      </c>
      <c r="J20" s="126">
        <v>402</v>
      </c>
      <c r="K20" s="126">
        <v>0</v>
      </c>
      <c r="L20" s="126">
        <v>0</v>
      </c>
      <c r="M20" s="264">
        <f t="shared" si="2"/>
        <v>32699</v>
      </c>
      <c r="N20" s="264">
        <f t="shared" si="3"/>
        <v>7407</v>
      </c>
      <c r="O20" s="127"/>
      <c r="P20" s="127"/>
      <c r="Q20" s="127"/>
      <c r="R20" s="127"/>
      <c r="S20" s="127"/>
    </row>
    <row r="21" spans="1:19" ht="12.75">
      <c r="A21" s="305">
        <v>15</v>
      </c>
      <c r="B21" s="126" t="s">
        <v>105</v>
      </c>
      <c r="C21" s="126">
        <v>8499</v>
      </c>
      <c r="D21" s="126">
        <v>993</v>
      </c>
      <c r="E21" s="126">
        <v>0</v>
      </c>
      <c r="F21" s="126">
        <v>0</v>
      </c>
      <c r="G21" s="264">
        <f t="shared" si="0"/>
        <v>8499</v>
      </c>
      <c r="H21" s="264">
        <f t="shared" si="1"/>
        <v>993</v>
      </c>
      <c r="I21" s="126">
        <v>0</v>
      </c>
      <c r="J21" s="126">
        <v>0</v>
      </c>
      <c r="K21" s="126">
        <v>0</v>
      </c>
      <c r="L21" s="126">
        <v>0</v>
      </c>
      <c r="M21" s="264">
        <f t="shared" si="2"/>
        <v>8499</v>
      </c>
      <c r="N21" s="264">
        <f t="shared" si="3"/>
        <v>993</v>
      </c>
      <c r="O21" s="127"/>
      <c r="Q21" s="127"/>
      <c r="R21" s="127"/>
      <c r="S21" s="127"/>
    </row>
    <row r="22" spans="1:19" s="103" customFormat="1" ht="12.75">
      <c r="A22" s="188">
        <v>16</v>
      </c>
      <c r="B22" s="145" t="s">
        <v>20</v>
      </c>
      <c r="C22" s="145">
        <v>24535</v>
      </c>
      <c r="D22" s="145">
        <v>3850</v>
      </c>
      <c r="E22" s="145">
        <v>42</v>
      </c>
      <c r="F22" s="145">
        <v>49</v>
      </c>
      <c r="G22" s="264">
        <f t="shared" si="0"/>
        <v>24577</v>
      </c>
      <c r="H22" s="264">
        <f t="shared" si="1"/>
        <v>3899</v>
      </c>
      <c r="I22" s="145">
        <v>0</v>
      </c>
      <c r="J22" s="145">
        <v>0</v>
      </c>
      <c r="K22" s="145">
        <v>0</v>
      </c>
      <c r="L22" s="145">
        <v>0</v>
      </c>
      <c r="M22" s="264">
        <f t="shared" si="2"/>
        <v>24577</v>
      </c>
      <c r="N22" s="264">
        <f t="shared" si="3"/>
        <v>3899</v>
      </c>
      <c r="O22" s="22"/>
      <c r="P22" s="22"/>
      <c r="Q22" s="22"/>
      <c r="R22" s="22"/>
      <c r="S22" s="22"/>
    </row>
    <row r="23" spans="1:19" ht="12.75">
      <c r="A23" s="305">
        <v>17</v>
      </c>
      <c r="B23" s="126" t="s">
        <v>21</v>
      </c>
      <c r="C23" s="126">
        <v>25389</v>
      </c>
      <c r="D23" s="126">
        <v>10690</v>
      </c>
      <c r="E23" s="126">
        <v>624</v>
      </c>
      <c r="F23" s="126">
        <v>414</v>
      </c>
      <c r="G23" s="264">
        <f t="shared" si="0"/>
        <v>26013</v>
      </c>
      <c r="H23" s="264">
        <f t="shared" si="1"/>
        <v>11104</v>
      </c>
      <c r="I23" s="126">
        <v>279</v>
      </c>
      <c r="J23" s="126">
        <v>146</v>
      </c>
      <c r="K23" s="126">
        <v>0</v>
      </c>
      <c r="L23" s="126">
        <v>0</v>
      </c>
      <c r="M23" s="264">
        <f t="shared" si="2"/>
        <v>25734</v>
      </c>
      <c r="N23" s="264">
        <f t="shared" si="3"/>
        <v>10958</v>
      </c>
      <c r="O23" s="127"/>
      <c r="P23" s="127"/>
      <c r="Q23" s="127"/>
      <c r="R23" s="127"/>
      <c r="S23" s="127"/>
    </row>
    <row r="24" spans="1:19" ht="12.75">
      <c r="A24" s="305">
        <v>18</v>
      </c>
      <c r="B24" s="126" t="s">
        <v>19</v>
      </c>
      <c r="C24" s="126">
        <v>593</v>
      </c>
      <c r="D24" s="126">
        <v>91</v>
      </c>
      <c r="E24" s="126">
        <v>3</v>
      </c>
      <c r="F24" s="126">
        <v>1</v>
      </c>
      <c r="G24" s="264">
        <f t="shared" si="0"/>
        <v>596</v>
      </c>
      <c r="H24" s="264">
        <f t="shared" si="1"/>
        <v>92</v>
      </c>
      <c r="I24" s="126">
        <v>0</v>
      </c>
      <c r="J24" s="126">
        <v>0</v>
      </c>
      <c r="K24" s="126">
        <v>0</v>
      </c>
      <c r="L24" s="126">
        <v>0</v>
      </c>
      <c r="M24" s="264">
        <f t="shared" si="2"/>
        <v>596</v>
      </c>
      <c r="N24" s="264">
        <f t="shared" si="3"/>
        <v>92</v>
      </c>
      <c r="O24" s="127"/>
      <c r="P24" s="127"/>
      <c r="Q24" s="127"/>
      <c r="R24" s="127"/>
      <c r="S24" s="127"/>
    </row>
    <row r="25" spans="1:19" ht="12.75">
      <c r="A25" s="305">
        <v>19</v>
      </c>
      <c r="B25" s="126" t="s">
        <v>124</v>
      </c>
      <c r="C25" s="126">
        <v>0</v>
      </c>
      <c r="D25" s="126">
        <v>0</v>
      </c>
      <c r="E25" s="126">
        <v>0</v>
      </c>
      <c r="F25" s="126">
        <v>0</v>
      </c>
      <c r="G25" s="264">
        <f t="shared" si="0"/>
        <v>0</v>
      </c>
      <c r="H25" s="264">
        <f t="shared" si="1"/>
        <v>0</v>
      </c>
      <c r="I25" s="126">
        <v>0</v>
      </c>
      <c r="J25" s="126">
        <v>0</v>
      </c>
      <c r="K25" s="126">
        <v>0</v>
      </c>
      <c r="L25" s="126">
        <v>0</v>
      </c>
      <c r="M25" s="264">
        <f t="shared" si="2"/>
        <v>0</v>
      </c>
      <c r="N25" s="264">
        <f t="shared" si="3"/>
        <v>0</v>
      </c>
      <c r="O25" s="118"/>
      <c r="P25" s="127"/>
      <c r="Q25" s="127"/>
      <c r="R25" s="127"/>
      <c r="S25" s="127"/>
    </row>
    <row r="26" spans="1:19" s="385" customFormat="1" ht="15">
      <c r="A26" s="368"/>
      <c r="B26" s="367" t="s">
        <v>224</v>
      </c>
      <c r="C26" s="367">
        <f aca="true" t="shared" si="4" ref="C26:L26">SUM(C7:C25)</f>
        <v>391661</v>
      </c>
      <c r="D26" s="367">
        <f t="shared" si="4"/>
        <v>80530</v>
      </c>
      <c r="E26" s="367">
        <f t="shared" si="4"/>
        <v>4636</v>
      </c>
      <c r="F26" s="367">
        <f t="shared" si="4"/>
        <v>2159</v>
      </c>
      <c r="G26" s="410">
        <f aca="true" t="shared" si="5" ref="G26:G33">C26+E26</f>
        <v>396297</v>
      </c>
      <c r="H26" s="410">
        <f aca="true" t="shared" si="6" ref="H26:H33">D26+F26</f>
        <v>82689</v>
      </c>
      <c r="I26" s="367">
        <f t="shared" si="4"/>
        <v>5880</v>
      </c>
      <c r="J26" s="367">
        <f t="shared" si="4"/>
        <v>1496</v>
      </c>
      <c r="K26" s="367">
        <f t="shared" si="4"/>
        <v>245</v>
      </c>
      <c r="L26" s="367">
        <f t="shared" si="4"/>
        <v>486</v>
      </c>
      <c r="M26" s="410">
        <f aca="true" t="shared" si="7" ref="M26:M34">G26-I26-K26</f>
        <v>390172</v>
      </c>
      <c r="N26" s="410">
        <f aca="true" t="shared" si="8" ref="N26:N34">H26-J26-L26</f>
        <v>80707</v>
      </c>
      <c r="O26" s="383"/>
      <c r="P26" s="384"/>
      <c r="Q26" s="384"/>
      <c r="R26" s="384"/>
      <c r="S26" s="384"/>
    </row>
    <row r="27" spans="1:19" ht="12.75">
      <c r="A27" s="54">
        <v>20</v>
      </c>
      <c r="B27" s="126" t="s">
        <v>23</v>
      </c>
      <c r="C27" s="126">
        <v>178</v>
      </c>
      <c r="D27" s="126">
        <v>67</v>
      </c>
      <c r="E27" s="126">
        <v>28</v>
      </c>
      <c r="F27" s="126">
        <v>10</v>
      </c>
      <c r="G27" s="264">
        <f t="shared" si="5"/>
        <v>206</v>
      </c>
      <c r="H27" s="264">
        <f t="shared" si="6"/>
        <v>77</v>
      </c>
      <c r="I27" s="126">
        <v>1</v>
      </c>
      <c r="J27" s="126">
        <v>1</v>
      </c>
      <c r="K27" s="126">
        <v>66</v>
      </c>
      <c r="L27" s="126">
        <v>27</v>
      </c>
      <c r="M27" s="264">
        <f t="shared" si="7"/>
        <v>139</v>
      </c>
      <c r="N27" s="264">
        <f t="shared" si="8"/>
        <v>49</v>
      </c>
      <c r="O27" s="127"/>
      <c r="P27" s="127"/>
      <c r="Q27" s="127"/>
      <c r="R27" s="127"/>
      <c r="S27" s="127"/>
    </row>
    <row r="28" spans="1:19" ht="12.75">
      <c r="A28" s="54">
        <v>21</v>
      </c>
      <c r="B28" s="126" t="s">
        <v>269</v>
      </c>
      <c r="C28" s="126">
        <v>125</v>
      </c>
      <c r="D28" s="126">
        <v>43</v>
      </c>
      <c r="E28" s="126">
        <v>0</v>
      </c>
      <c r="F28" s="126">
        <v>0</v>
      </c>
      <c r="G28" s="264">
        <f t="shared" si="5"/>
        <v>125</v>
      </c>
      <c r="H28" s="264">
        <f t="shared" si="6"/>
        <v>43</v>
      </c>
      <c r="I28" s="126">
        <v>0</v>
      </c>
      <c r="J28" s="126">
        <v>0</v>
      </c>
      <c r="K28" s="126">
        <v>2</v>
      </c>
      <c r="L28" s="126">
        <v>10</v>
      </c>
      <c r="M28" s="264">
        <f t="shared" si="7"/>
        <v>123</v>
      </c>
      <c r="N28" s="264">
        <f t="shared" si="8"/>
        <v>33</v>
      </c>
      <c r="O28" s="127"/>
      <c r="P28" s="127"/>
      <c r="Q28" s="127"/>
      <c r="R28" s="127"/>
      <c r="S28" s="127"/>
    </row>
    <row r="29" spans="1:19" ht="12.75">
      <c r="A29" s="54">
        <v>22</v>
      </c>
      <c r="B29" s="126" t="s">
        <v>169</v>
      </c>
      <c r="C29" s="126">
        <v>505</v>
      </c>
      <c r="D29" s="126">
        <v>214</v>
      </c>
      <c r="E29" s="126">
        <v>0</v>
      </c>
      <c r="F29" s="126">
        <v>0</v>
      </c>
      <c r="G29" s="264">
        <f t="shared" si="5"/>
        <v>505</v>
      </c>
      <c r="H29" s="264">
        <f t="shared" si="6"/>
        <v>214</v>
      </c>
      <c r="I29" s="126">
        <v>0</v>
      </c>
      <c r="J29" s="126">
        <v>0</v>
      </c>
      <c r="K29" s="126">
        <v>0</v>
      </c>
      <c r="L29" s="126">
        <v>0</v>
      </c>
      <c r="M29" s="264">
        <f t="shared" si="7"/>
        <v>505</v>
      </c>
      <c r="N29" s="264">
        <f t="shared" si="8"/>
        <v>214</v>
      </c>
      <c r="O29" s="127"/>
      <c r="P29" s="127"/>
      <c r="Q29" s="127"/>
      <c r="R29" s="127"/>
      <c r="S29" s="127"/>
    </row>
    <row r="30" spans="1:19" ht="12.75">
      <c r="A30" s="54">
        <v>23</v>
      </c>
      <c r="B30" s="126" t="s">
        <v>22</v>
      </c>
      <c r="C30" s="126">
        <v>84</v>
      </c>
      <c r="D30" s="126">
        <v>23</v>
      </c>
      <c r="E30" s="126">
        <v>0</v>
      </c>
      <c r="F30" s="126">
        <v>0</v>
      </c>
      <c r="G30" s="264">
        <f t="shared" si="5"/>
        <v>84</v>
      </c>
      <c r="H30" s="264">
        <f t="shared" si="6"/>
        <v>23</v>
      </c>
      <c r="I30" s="126">
        <v>0</v>
      </c>
      <c r="J30" s="126">
        <v>0</v>
      </c>
      <c r="K30" s="126">
        <v>0</v>
      </c>
      <c r="L30" s="126">
        <v>0</v>
      </c>
      <c r="M30" s="264">
        <f t="shared" si="7"/>
        <v>84</v>
      </c>
      <c r="N30" s="264">
        <f t="shared" si="8"/>
        <v>23</v>
      </c>
      <c r="O30" s="127"/>
      <c r="P30" s="127"/>
      <c r="Q30" s="127"/>
      <c r="R30" s="127"/>
      <c r="S30" s="127"/>
    </row>
    <row r="31" spans="1:19" s="103" customFormat="1" ht="12.75">
      <c r="A31" s="54">
        <v>24</v>
      </c>
      <c r="B31" s="145" t="s">
        <v>141</v>
      </c>
      <c r="C31" s="145">
        <v>479</v>
      </c>
      <c r="D31" s="145">
        <v>71</v>
      </c>
      <c r="E31" s="145">
        <v>0</v>
      </c>
      <c r="F31" s="145">
        <v>0</v>
      </c>
      <c r="G31" s="264">
        <f t="shared" si="5"/>
        <v>479</v>
      </c>
      <c r="H31" s="264">
        <f t="shared" si="6"/>
        <v>71</v>
      </c>
      <c r="I31" s="145">
        <v>0</v>
      </c>
      <c r="J31" s="145">
        <v>0</v>
      </c>
      <c r="K31" s="145">
        <v>1</v>
      </c>
      <c r="L31" s="145">
        <v>1</v>
      </c>
      <c r="M31" s="264">
        <f t="shared" si="7"/>
        <v>478</v>
      </c>
      <c r="N31" s="264">
        <f t="shared" si="8"/>
        <v>70</v>
      </c>
      <c r="O31" s="22"/>
      <c r="P31" s="22"/>
      <c r="Q31" s="22"/>
      <c r="R31" s="22"/>
      <c r="S31" s="22"/>
    </row>
    <row r="32" spans="1:19" ht="12.75">
      <c r="A32" s="54">
        <v>25</v>
      </c>
      <c r="B32" s="126" t="s">
        <v>18</v>
      </c>
      <c r="C32" s="126">
        <v>193351</v>
      </c>
      <c r="D32" s="126">
        <v>49398</v>
      </c>
      <c r="E32" s="126">
        <v>1358</v>
      </c>
      <c r="F32" s="126">
        <v>857</v>
      </c>
      <c r="G32" s="264">
        <f t="shared" si="5"/>
        <v>194709</v>
      </c>
      <c r="H32" s="264">
        <f t="shared" si="6"/>
        <v>50255</v>
      </c>
      <c r="I32" s="126">
        <v>83</v>
      </c>
      <c r="J32" s="126">
        <v>21</v>
      </c>
      <c r="K32" s="126">
        <v>110</v>
      </c>
      <c r="L32" s="126">
        <v>28</v>
      </c>
      <c r="M32" s="264">
        <f t="shared" si="7"/>
        <v>194516</v>
      </c>
      <c r="N32" s="264">
        <f t="shared" si="8"/>
        <v>50206</v>
      </c>
      <c r="O32" s="127"/>
      <c r="P32" s="127"/>
      <c r="Q32" s="127"/>
      <c r="R32" s="127"/>
      <c r="S32" s="127"/>
    </row>
    <row r="33" spans="1:19" ht="12.75">
      <c r="A33" s="54">
        <v>26</v>
      </c>
      <c r="B33" s="126" t="s">
        <v>104</v>
      </c>
      <c r="C33" s="126">
        <v>84161</v>
      </c>
      <c r="D33" s="126">
        <v>25297</v>
      </c>
      <c r="E33" s="126">
        <v>701</v>
      </c>
      <c r="F33" s="126">
        <v>1020</v>
      </c>
      <c r="G33" s="264">
        <f t="shared" si="5"/>
        <v>84862</v>
      </c>
      <c r="H33" s="264">
        <f t="shared" si="6"/>
        <v>26317</v>
      </c>
      <c r="I33" s="126">
        <v>320</v>
      </c>
      <c r="J33" s="126">
        <v>490</v>
      </c>
      <c r="K33" s="126">
        <v>140</v>
      </c>
      <c r="L33" s="126">
        <v>127</v>
      </c>
      <c r="M33" s="264">
        <f t="shared" si="7"/>
        <v>84402</v>
      </c>
      <c r="N33" s="264">
        <f t="shared" si="8"/>
        <v>25700</v>
      </c>
      <c r="O33" s="127"/>
      <c r="P33" s="127"/>
      <c r="Q33" s="127"/>
      <c r="R33" s="127"/>
      <c r="S33" s="127"/>
    </row>
    <row r="34" spans="1:19" s="385" customFormat="1" ht="15">
      <c r="A34" s="368"/>
      <c r="B34" s="367" t="s">
        <v>226</v>
      </c>
      <c r="C34" s="367">
        <f aca="true" t="shared" si="9" ref="C34:L34">SUM(C27:C33)</f>
        <v>278883</v>
      </c>
      <c r="D34" s="367">
        <f t="shared" si="9"/>
        <v>75113</v>
      </c>
      <c r="E34" s="367">
        <f t="shared" si="9"/>
        <v>2087</v>
      </c>
      <c r="F34" s="367">
        <f t="shared" si="9"/>
        <v>1887</v>
      </c>
      <c r="G34" s="410">
        <f t="shared" si="9"/>
        <v>280970</v>
      </c>
      <c r="H34" s="410">
        <f t="shared" si="9"/>
        <v>77000</v>
      </c>
      <c r="I34" s="367">
        <f t="shared" si="9"/>
        <v>404</v>
      </c>
      <c r="J34" s="367">
        <f t="shared" si="9"/>
        <v>512</v>
      </c>
      <c r="K34" s="367">
        <f t="shared" si="9"/>
        <v>319</v>
      </c>
      <c r="L34" s="367">
        <f t="shared" si="9"/>
        <v>193</v>
      </c>
      <c r="M34" s="410">
        <f t="shared" si="7"/>
        <v>280247</v>
      </c>
      <c r="N34" s="410">
        <f t="shared" si="8"/>
        <v>76295</v>
      </c>
      <c r="O34" s="384"/>
      <c r="P34" s="384"/>
      <c r="Q34" s="384"/>
      <c r="R34" s="384"/>
      <c r="S34" s="384"/>
    </row>
    <row r="35" spans="1:19" ht="12.75">
      <c r="A35" s="54">
        <v>27</v>
      </c>
      <c r="B35" s="116" t="s">
        <v>163</v>
      </c>
      <c r="C35" s="126">
        <v>1066</v>
      </c>
      <c r="D35" s="126">
        <v>381</v>
      </c>
      <c r="E35" s="126">
        <v>67</v>
      </c>
      <c r="F35" s="126">
        <v>59</v>
      </c>
      <c r="G35" s="264">
        <f aca="true" t="shared" si="10" ref="G35:G45">C35+E35</f>
        <v>1133</v>
      </c>
      <c r="H35" s="264">
        <f aca="true" t="shared" si="11" ref="H35:H45">D35+F35</f>
        <v>440</v>
      </c>
      <c r="I35" s="126">
        <v>116</v>
      </c>
      <c r="J35" s="126">
        <v>14</v>
      </c>
      <c r="K35" s="126">
        <v>0</v>
      </c>
      <c r="L35" s="126">
        <v>0</v>
      </c>
      <c r="M35" s="264">
        <f aca="true" t="shared" si="12" ref="M35:M45">G35-I35-K35</f>
        <v>1017</v>
      </c>
      <c r="N35" s="264">
        <f aca="true" t="shared" si="13" ref="N35:N45">H35-J35-L35</f>
        <v>426</v>
      </c>
      <c r="O35" s="127"/>
      <c r="P35" s="127"/>
      <c r="Q35" s="127"/>
      <c r="R35" s="127"/>
      <c r="S35" s="127"/>
    </row>
    <row r="36" spans="1:19" s="103" customFormat="1" ht="12.75">
      <c r="A36" s="54">
        <v>28</v>
      </c>
      <c r="B36" s="57" t="s">
        <v>231</v>
      </c>
      <c r="C36" s="145">
        <v>0</v>
      </c>
      <c r="D36" s="145">
        <v>0</v>
      </c>
      <c r="E36" s="145">
        <v>0</v>
      </c>
      <c r="F36" s="145">
        <v>0</v>
      </c>
      <c r="G36" s="264">
        <f>C36+E36</f>
        <v>0</v>
      </c>
      <c r="H36" s="264">
        <f>D36+F36</f>
        <v>0</v>
      </c>
      <c r="I36" s="145">
        <v>0</v>
      </c>
      <c r="J36" s="145">
        <v>0</v>
      </c>
      <c r="K36" s="145">
        <v>0</v>
      </c>
      <c r="L36" s="145">
        <v>0</v>
      </c>
      <c r="M36" s="264">
        <f>G36-I36-K36</f>
        <v>0</v>
      </c>
      <c r="N36" s="264">
        <f>H36-J36-L36</f>
        <v>0</v>
      </c>
      <c r="O36" s="22"/>
      <c r="P36" s="22"/>
      <c r="Q36" s="22"/>
      <c r="R36" s="22"/>
      <c r="S36" s="22"/>
    </row>
    <row r="37" spans="1:19" ht="12.75">
      <c r="A37" s="54">
        <v>29</v>
      </c>
      <c r="B37" s="116" t="s">
        <v>218</v>
      </c>
      <c r="C37" s="126">
        <v>0</v>
      </c>
      <c r="D37" s="126">
        <v>0</v>
      </c>
      <c r="E37" s="126">
        <v>0</v>
      </c>
      <c r="F37" s="126">
        <v>0</v>
      </c>
      <c r="G37" s="264">
        <f t="shared" si="10"/>
        <v>0</v>
      </c>
      <c r="H37" s="264">
        <f t="shared" si="11"/>
        <v>0</v>
      </c>
      <c r="I37" s="126">
        <v>0</v>
      </c>
      <c r="J37" s="126">
        <v>0</v>
      </c>
      <c r="K37" s="126">
        <v>0</v>
      </c>
      <c r="L37" s="126">
        <v>0</v>
      </c>
      <c r="M37" s="264">
        <f t="shared" si="12"/>
        <v>0</v>
      </c>
      <c r="N37" s="264">
        <f t="shared" si="13"/>
        <v>0</v>
      </c>
      <c r="O37" s="127"/>
      <c r="P37" s="127"/>
      <c r="Q37" s="127"/>
      <c r="R37" s="127"/>
      <c r="S37" s="127"/>
    </row>
    <row r="38" spans="1:19" ht="12.75">
      <c r="A38" s="54">
        <v>30</v>
      </c>
      <c r="B38" s="116" t="s">
        <v>236</v>
      </c>
      <c r="C38" s="126">
        <v>667</v>
      </c>
      <c r="D38" s="126">
        <v>674</v>
      </c>
      <c r="E38" s="126">
        <v>51</v>
      </c>
      <c r="F38" s="126">
        <v>92</v>
      </c>
      <c r="G38" s="264">
        <f t="shared" si="10"/>
        <v>718</v>
      </c>
      <c r="H38" s="264">
        <f t="shared" si="11"/>
        <v>766</v>
      </c>
      <c r="I38" s="126">
        <v>3</v>
      </c>
      <c r="J38" s="126">
        <v>7</v>
      </c>
      <c r="K38" s="126">
        <v>1</v>
      </c>
      <c r="L38" s="126">
        <v>1</v>
      </c>
      <c r="M38" s="264">
        <f t="shared" si="12"/>
        <v>714</v>
      </c>
      <c r="N38" s="264">
        <f t="shared" si="13"/>
        <v>758</v>
      </c>
      <c r="O38" s="127"/>
      <c r="P38" s="127"/>
      <c r="Q38" s="127"/>
      <c r="R38" s="127"/>
      <c r="S38" s="127"/>
    </row>
    <row r="39" spans="1:19" s="103" customFormat="1" ht="12.75">
      <c r="A39" s="54">
        <v>31</v>
      </c>
      <c r="B39" s="57" t="s">
        <v>219</v>
      </c>
      <c r="C39" s="145">
        <v>0</v>
      </c>
      <c r="D39" s="145">
        <v>0</v>
      </c>
      <c r="E39" s="145">
        <v>0</v>
      </c>
      <c r="F39" s="145">
        <v>0</v>
      </c>
      <c r="G39" s="264">
        <f t="shared" si="10"/>
        <v>0</v>
      </c>
      <c r="H39" s="264">
        <f t="shared" si="11"/>
        <v>0</v>
      </c>
      <c r="I39" s="145">
        <v>0</v>
      </c>
      <c r="J39" s="145">
        <v>0</v>
      </c>
      <c r="K39" s="145">
        <v>0</v>
      </c>
      <c r="L39" s="145">
        <v>0</v>
      </c>
      <c r="M39" s="264">
        <f t="shared" si="12"/>
        <v>0</v>
      </c>
      <c r="N39" s="264">
        <f t="shared" si="13"/>
        <v>0</v>
      </c>
      <c r="O39" s="22"/>
      <c r="P39" s="22"/>
      <c r="Q39" s="22"/>
      <c r="R39" s="22"/>
      <c r="S39" s="22"/>
    </row>
    <row r="40" spans="1:19" ht="12.75">
      <c r="A40" s="54">
        <v>32</v>
      </c>
      <c r="B40" s="116" t="s">
        <v>220</v>
      </c>
      <c r="C40" s="126">
        <v>6</v>
      </c>
      <c r="D40" s="126">
        <v>19</v>
      </c>
      <c r="E40" s="126">
        <v>0</v>
      </c>
      <c r="F40" s="126">
        <v>0</v>
      </c>
      <c r="G40" s="264">
        <f t="shared" si="10"/>
        <v>6</v>
      </c>
      <c r="H40" s="264">
        <f t="shared" si="11"/>
        <v>19</v>
      </c>
      <c r="I40" s="126">
        <v>0</v>
      </c>
      <c r="J40" s="126">
        <v>0</v>
      </c>
      <c r="K40" s="126">
        <v>0</v>
      </c>
      <c r="L40" s="126">
        <v>0</v>
      </c>
      <c r="M40" s="264">
        <f t="shared" si="12"/>
        <v>6</v>
      </c>
      <c r="N40" s="264">
        <f t="shared" si="13"/>
        <v>19</v>
      </c>
      <c r="O40" s="127"/>
      <c r="P40" s="127"/>
      <c r="Q40" s="127"/>
      <c r="R40" s="127"/>
      <c r="S40" s="127"/>
    </row>
    <row r="41" spans="1:19" ht="12.75">
      <c r="A41" s="110">
        <v>33</v>
      </c>
      <c r="B41" s="149" t="s">
        <v>363</v>
      </c>
      <c r="C41" s="126">
        <v>0</v>
      </c>
      <c r="D41" s="126">
        <v>0</v>
      </c>
      <c r="E41" s="126">
        <v>0</v>
      </c>
      <c r="F41" s="126">
        <v>0</v>
      </c>
      <c r="G41" s="264">
        <f t="shared" si="10"/>
        <v>0</v>
      </c>
      <c r="H41" s="264">
        <f t="shared" si="11"/>
        <v>0</v>
      </c>
      <c r="I41" s="126">
        <v>0</v>
      </c>
      <c r="J41" s="126">
        <v>0</v>
      </c>
      <c r="K41" s="126">
        <v>0</v>
      </c>
      <c r="L41" s="126">
        <v>0</v>
      </c>
      <c r="M41" s="264">
        <f t="shared" si="12"/>
        <v>0</v>
      </c>
      <c r="N41" s="264">
        <f t="shared" si="13"/>
        <v>0</v>
      </c>
      <c r="O41" s="127"/>
      <c r="P41" s="127"/>
      <c r="Q41" s="127"/>
      <c r="R41" s="127"/>
      <c r="S41" s="127"/>
    </row>
    <row r="42" spans="1:19" s="103" customFormat="1" ht="14.25" customHeight="1">
      <c r="A42" s="54">
        <v>34</v>
      </c>
      <c r="B42" s="57" t="s">
        <v>242</v>
      </c>
      <c r="C42" s="145">
        <v>5</v>
      </c>
      <c r="D42" s="145">
        <v>4</v>
      </c>
      <c r="E42" s="145">
        <v>0</v>
      </c>
      <c r="F42" s="145">
        <v>0</v>
      </c>
      <c r="G42" s="264">
        <f t="shared" si="10"/>
        <v>5</v>
      </c>
      <c r="H42" s="264">
        <f t="shared" si="11"/>
        <v>4</v>
      </c>
      <c r="I42" s="145">
        <v>0</v>
      </c>
      <c r="J42" s="145">
        <v>0</v>
      </c>
      <c r="K42" s="145">
        <v>0</v>
      </c>
      <c r="L42" s="145">
        <v>0</v>
      </c>
      <c r="M42" s="264">
        <f t="shared" si="12"/>
        <v>5</v>
      </c>
      <c r="N42" s="264">
        <f t="shared" si="13"/>
        <v>4</v>
      </c>
      <c r="O42" s="22"/>
      <c r="P42" s="22"/>
      <c r="Q42" s="22"/>
      <c r="R42" s="22"/>
      <c r="S42" s="22"/>
    </row>
    <row r="43" spans="1:19" ht="12.75">
      <c r="A43" s="54">
        <v>35</v>
      </c>
      <c r="B43" s="116" t="s">
        <v>256</v>
      </c>
      <c r="C43" s="145">
        <v>31</v>
      </c>
      <c r="D43" s="126">
        <v>16</v>
      </c>
      <c r="E43" s="126">
        <v>0</v>
      </c>
      <c r="F43" s="126">
        <v>0</v>
      </c>
      <c r="G43" s="264">
        <f t="shared" si="10"/>
        <v>31</v>
      </c>
      <c r="H43" s="264">
        <f t="shared" si="11"/>
        <v>16</v>
      </c>
      <c r="I43" s="126">
        <v>0</v>
      </c>
      <c r="J43" s="126">
        <v>0</v>
      </c>
      <c r="K43" s="126">
        <v>0</v>
      </c>
      <c r="L43" s="126">
        <v>0</v>
      </c>
      <c r="M43" s="264">
        <f t="shared" si="12"/>
        <v>31</v>
      </c>
      <c r="N43" s="264">
        <f t="shared" si="13"/>
        <v>16</v>
      </c>
      <c r="O43" s="127"/>
      <c r="P43" s="127"/>
      <c r="Q43" s="127"/>
      <c r="R43" s="127"/>
      <c r="S43" s="127"/>
    </row>
    <row r="44" spans="1:19" ht="12.75">
      <c r="A44" s="54">
        <v>36</v>
      </c>
      <c r="B44" s="116" t="s">
        <v>24</v>
      </c>
      <c r="C44" s="126">
        <v>109</v>
      </c>
      <c r="D44" s="126">
        <v>123</v>
      </c>
      <c r="E44" s="126">
        <v>0</v>
      </c>
      <c r="F44" s="126">
        <v>0</v>
      </c>
      <c r="G44" s="264">
        <f t="shared" si="10"/>
        <v>109</v>
      </c>
      <c r="H44" s="264">
        <f t="shared" si="11"/>
        <v>123</v>
      </c>
      <c r="I44" s="126">
        <v>0</v>
      </c>
      <c r="J44" s="126">
        <v>0</v>
      </c>
      <c r="K44" s="126">
        <v>0</v>
      </c>
      <c r="L44" s="126">
        <v>0</v>
      </c>
      <c r="M44" s="264">
        <f t="shared" si="12"/>
        <v>109</v>
      </c>
      <c r="N44" s="264">
        <f t="shared" si="13"/>
        <v>123</v>
      </c>
      <c r="O44" s="127"/>
      <c r="P44" s="127"/>
      <c r="Q44" s="127"/>
      <c r="R44" s="127"/>
      <c r="S44" s="127"/>
    </row>
    <row r="45" spans="1:19" ht="12.75">
      <c r="A45" s="54">
        <v>37</v>
      </c>
      <c r="B45" s="116" t="s">
        <v>223</v>
      </c>
      <c r="C45" s="126">
        <v>0</v>
      </c>
      <c r="D45" s="126">
        <v>0</v>
      </c>
      <c r="E45" s="126">
        <v>0</v>
      </c>
      <c r="F45" s="126">
        <v>0</v>
      </c>
      <c r="G45" s="264">
        <f t="shared" si="10"/>
        <v>0</v>
      </c>
      <c r="H45" s="264">
        <f t="shared" si="11"/>
        <v>0</v>
      </c>
      <c r="I45" s="126">
        <v>0</v>
      </c>
      <c r="J45" s="126">
        <v>0</v>
      </c>
      <c r="K45" s="126">
        <v>0</v>
      </c>
      <c r="L45" s="126">
        <v>0</v>
      </c>
      <c r="M45" s="264">
        <f t="shared" si="12"/>
        <v>0</v>
      </c>
      <c r="N45" s="264">
        <f t="shared" si="13"/>
        <v>0</v>
      </c>
      <c r="O45" s="127"/>
      <c r="P45" s="127"/>
      <c r="Q45" s="127"/>
      <c r="R45" s="127"/>
      <c r="S45" s="127"/>
    </row>
    <row r="46" spans="1:19" ht="12.75">
      <c r="A46" s="54">
        <v>38</v>
      </c>
      <c r="B46" s="116" t="s">
        <v>364</v>
      </c>
      <c r="C46" s="126">
        <v>0</v>
      </c>
      <c r="D46" s="126">
        <v>0</v>
      </c>
      <c r="E46" s="126">
        <v>0</v>
      </c>
      <c r="F46" s="126">
        <v>0</v>
      </c>
      <c r="G46" s="264">
        <f>C46+E46</f>
        <v>0</v>
      </c>
      <c r="H46" s="264">
        <f>D46+F46</f>
        <v>0</v>
      </c>
      <c r="I46" s="126">
        <v>0</v>
      </c>
      <c r="J46" s="126">
        <v>0</v>
      </c>
      <c r="K46" s="126">
        <v>0</v>
      </c>
      <c r="L46" s="126">
        <v>0</v>
      </c>
      <c r="M46" s="264">
        <f>G46-I46-K46</f>
        <v>0</v>
      </c>
      <c r="N46" s="264">
        <f>H46-J46-L46</f>
        <v>0</v>
      </c>
      <c r="O46" s="127"/>
      <c r="P46" s="127"/>
      <c r="Q46" s="127"/>
      <c r="R46" s="127"/>
      <c r="S46" s="127"/>
    </row>
    <row r="47" spans="1:19" ht="12.75">
      <c r="A47" s="54">
        <v>39</v>
      </c>
      <c r="B47" s="116" t="s">
        <v>366</v>
      </c>
      <c r="C47" s="126">
        <v>220</v>
      </c>
      <c r="D47" s="126">
        <v>489</v>
      </c>
      <c r="E47" s="126">
        <v>42</v>
      </c>
      <c r="F47" s="126">
        <v>111</v>
      </c>
      <c r="G47" s="264">
        <f>C47+E47</f>
        <v>262</v>
      </c>
      <c r="H47" s="264">
        <f>D47+F47</f>
        <v>600</v>
      </c>
      <c r="I47" s="126">
        <v>0</v>
      </c>
      <c r="J47" s="126">
        <v>0</v>
      </c>
      <c r="K47" s="126">
        <v>0</v>
      </c>
      <c r="L47" s="126">
        <v>0</v>
      </c>
      <c r="M47" s="264">
        <f>G47-I47-K47</f>
        <v>262</v>
      </c>
      <c r="N47" s="264">
        <f>H47-J47-L47</f>
        <v>600</v>
      </c>
      <c r="O47" s="127"/>
      <c r="P47" s="127"/>
      <c r="Q47" s="127"/>
      <c r="R47" s="127"/>
      <c r="S47" s="127"/>
    </row>
    <row r="48" spans="1:19" s="385" customFormat="1" ht="15">
      <c r="A48" s="368"/>
      <c r="B48" s="367" t="s">
        <v>225</v>
      </c>
      <c r="C48" s="367">
        <f aca="true" t="shared" si="14" ref="C48:N48">SUM(C35:C47)</f>
        <v>2104</v>
      </c>
      <c r="D48" s="367">
        <f t="shared" si="14"/>
        <v>1706</v>
      </c>
      <c r="E48" s="367">
        <f t="shared" si="14"/>
        <v>160</v>
      </c>
      <c r="F48" s="367">
        <f t="shared" si="14"/>
        <v>262</v>
      </c>
      <c r="G48" s="410">
        <f t="shared" si="14"/>
        <v>2264</v>
      </c>
      <c r="H48" s="410">
        <f t="shared" si="14"/>
        <v>1968</v>
      </c>
      <c r="I48" s="367">
        <f t="shared" si="14"/>
        <v>119</v>
      </c>
      <c r="J48" s="367">
        <f t="shared" si="14"/>
        <v>21</v>
      </c>
      <c r="K48" s="367">
        <f t="shared" si="14"/>
        <v>1</v>
      </c>
      <c r="L48" s="367">
        <f t="shared" si="14"/>
        <v>1</v>
      </c>
      <c r="M48" s="410">
        <f t="shared" si="14"/>
        <v>2144</v>
      </c>
      <c r="N48" s="410">
        <f t="shared" si="14"/>
        <v>1946</v>
      </c>
      <c r="O48" s="384"/>
      <c r="P48" s="384"/>
      <c r="Q48" s="384"/>
      <c r="R48" s="384"/>
      <c r="S48" s="384"/>
    </row>
    <row r="49" spans="1:19" s="385" customFormat="1" ht="15">
      <c r="A49" s="368"/>
      <c r="B49" s="366" t="s">
        <v>123</v>
      </c>
      <c r="C49" s="367">
        <f aca="true" t="shared" si="15" ref="C49:N49">C26+C34+C48</f>
        <v>672648</v>
      </c>
      <c r="D49" s="367">
        <f t="shared" si="15"/>
        <v>157349</v>
      </c>
      <c r="E49" s="367">
        <f t="shared" si="15"/>
        <v>6883</v>
      </c>
      <c r="F49" s="367">
        <f t="shared" si="15"/>
        <v>4308</v>
      </c>
      <c r="G49" s="410">
        <f t="shared" si="15"/>
        <v>679531</v>
      </c>
      <c r="H49" s="410">
        <f t="shared" si="15"/>
        <v>161657</v>
      </c>
      <c r="I49" s="367">
        <f t="shared" si="15"/>
        <v>6403</v>
      </c>
      <c r="J49" s="367">
        <f t="shared" si="15"/>
        <v>2029</v>
      </c>
      <c r="K49" s="367">
        <f t="shared" si="15"/>
        <v>565</v>
      </c>
      <c r="L49" s="367">
        <f t="shared" si="15"/>
        <v>680</v>
      </c>
      <c r="M49" s="410">
        <f t="shared" si="15"/>
        <v>672563</v>
      </c>
      <c r="N49" s="410">
        <f t="shared" si="15"/>
        <v>158948</v>
      </c>
      <c r="P49" s="383"/>
      <c r="Q49" s="384"/>
      <c r="R49" s="384"/>
      <c r="S49" s="384"/>
    </row>
    <row r="50" spans="1:14" ht="18" customHeight="1">
      <c r="A50" s="292"/>
      <c r="B50" s="292"/>
      <c r="C50" s="294"/>
      <c r="D50" s="294"/>
      <c r="M50" s="192"/>
      <c r="N50" s="192"/>
    </row>
    <row r="51" spans="3:9" ht="18" customHeight="1">
      <c r="C51" s="294"/>
      <c r="I51" s="293"/>
    </row>
    <row r="52" spans="3:14" ht="18" customHeight="1">
      <c r="C52" s="294"/>
      <c r="G52" s="192"/>
      <c r="H52" s="192"/>
      <c r="I52" s="293"/>
      <c r="M52" s="192"/>
      <c r="N52" s="192"/>
    </row>
    <row r="53" spans="1:14" ht="13.5" customHeight="1">
      <c r="A53" s="380" t="s">
        <v>4</v>
      </c>
      <c r="B53" s="299" t="s">
        <v>5</v>
      </c>
      <c r="C53" s="688" t="s">
        <v>183</v>
      </c>
      <c r="D53" s="689"/>
      <c r="E53" s="692" t="s">
        <v>184</v>
      </c>
      <c r="F53" s="689"/>
      <c r="G53" s="684" t="s">
        <v>185</v>
      </c>
      <c r="H53" s="685"/>
      <c r="I53" s="692" t="s">
        <v>186</v>
      </c>
      <c r="J53" s="689"/>
      <c r="K53" s="692" t="s">
        <v>187</v>
      </c>
      <c r="L53" s="689"/>
      <c r="M53" s="684" t="s">
        <v>189</v>
      </c>
      <c r="N53" s="685"/>
    </row>
    <row r="54" spans="1:14" ht="12.75">
      <c r="A54" s="381" t="s">
        <v>6</v>
      </c>
      <c r="B54" s="301"/>
      <c r="C54" s="690"/>
      <c r="D54" s="691"/>
      <c r="E54" s="693"/>
      <c r="F54" s="691"/>
      <c r="G54" s="686"/>
      <c r="H54" s="687"/>
      <c r="I54" s="693"/>
      <c r="J54" s="691"/>
      <c r="K54" s="693"/>
      <c r="L54" s="691"/>
      <c r="M54" s="686"/>
      <c r="N54" s="687"/>
    </row>
    <row r="55" spans="1:14" ht="12.75">
      <c r="A55" s="382"/>
      <c r="B55" s="350"/>
      <c r="C55" s="351" t="s">
        <v>57</v>
      </c>
      <c r="D55" s="351" t="s">
        <v>63</v>
      </c>
      <c r="E55" s="351" t="s">
        <v>57</v>
      </c>
      <c r="F55" s="351" t="s">
        <v>63</v>
      </c>
      <c r="G55" s="458" t="s">
        <v>57</v>
      </c>
      <c r="H55" s="458" t="s">
        <v>63</v>
      </c>
      <c r="I55" s="351" t="s">
        <v>57</v>
      </c>
      <c r="J55" s="351" t="s">
        <v>63</v>
      </c>
      <c r="K55" s="351" t="s">
        <v>57</v>
      </c>
      <c r="L55" s="351" t="s">
        <v>63</v>
      </c>
      <c r="M55" s="458" t="s">
        <v>57</v>
      </c>
      <c r="N55" s="458" t="s">
        <v>63</v>
      </c>
    </row>
    <row r="56" spans="1:19" ht="12.75">
      <c r="A56" s="54">
        <v>40</v>
      </c>
      <c r="B56" s="57" t="s">
        <v>78</v>
      </c>
      <c r="C56" s="126">
        <v>21168</v>
      </c>
      <c r="D56" s="126">
        <v>1028</v>
      </c>
      <c r="E56" s="126">
        <v>0</v>
      </c>
      <c r="F56" s="126">
        <v>0</v>
      </c>
      <c r="G56" s="264">
        <f aca="true" t="shared" si="16" ref="G56:G63">C56+E56</f>
        <v>21168</v>
      </c>
      <c r="H56" s="264">
        <f aca="true" t="shared" si="17" ref="H56:H63">D56+F56</f>
        <v>1028</v>
      </c>
      <c r="I56" s="126">
        <v>0</v>
      </c>
      <c r="J56" s="126">
        <v>0</v>
      </c>
      <c r="K56" s="126">
        <v>0</v>
      </c>
      <c r="L56" s="126">
        <v>0</v>
      </c>
      <c r="M56" s="264">
        <f aca="true" t="shared" si="18" ref="M56:M63">G56-I56-K56</f>
        <v>21168</v>
      </c>
      <c r="N56" s="264">
        <f aca="true" t="shared" si="19" ref="N56:N63">H56-J56-L56</f>
        <v>1028</v>
      </c>
      <c r="O56" s="127"/>
      <c r="Q56" s="127"/>
      <c r="R56" s="127"/>
      <c r="S56" s="127"/>
    </row>
    <row r="57" spans="1:19" ht="12.75">
      <c r="A57" s="54">
        <v>41</v>
      </c>
      <c r="B57" s="57" t="s">
        <v>278</v>
      </c>
      <c r="C57" s="126">
        <v>67236</v>
      </c>
      <c r="D57" s="126">
        <v>3578</v>
      </c>
      <c r="E57" s="126">
        <v>22</v>
      </c>
      <c r="F57" s="126">
        <v>11</v>
      </c>
      <c r="G57" s="264">
        <f t="shared" si="16"/>
        <v>67258</v>
      </c>
      <c r="H57" s="264">
        <f t="shared" si="17"/>
        <v>3589</v>
      </c>
      <c r="I57" s="126">
        <v>66</v>
      </c>
      <c r="J57" s="126">
        <v>15</v>
      </c>
      <c r="K57" s="126">
        <v>25</v>
      </c>
      <c r="L57" s="126">
        <v>3</v>
      </c>
      <c r="M57" s="264">
        <f t="shared" si="18"/>
        <v>67167</v>
      </c>
      <c r="N57" s="264">
        <f t="shared" si="19"/>
        <v>3571</v>
      </c>
      <c r="O57" s="127"/>
      <c r="Q57" s="127"/>
      <c r="R57" s="127"/>
      <c r="S57" s="127"/>
    </row>
    <row r="58" spans="1:19" ht="12.75">
      <c r="A58" s="54">
        <v>42</v>
      </c>
      <c r="B58" s="57" t="s">
        <v>30</v>
      </c>
      <c r="C58" s="126">
        <v>5731</v>
      </c>
      <c r="D58" s="126">
        <v>540</v>
      </c>
      <c r="E58" s="126">
        <v>0</v>
      </c>
      <c r="F58" s="126">
        <v>0</v>
      </c>
      <c r="G58" s="264">
        <f t="shared" si="16"/>
        <v>5731</v>
      </c>
      <c r="H58" s="264">
        <f t="shared" si="17"/>
        <v>540</v>
      </c>
      <c r="I58" s="126">
        <v>0</v>
      </c>
      <c r="J58" s="126">
        <v>0</v>
      </c>
      <c r="K58" s="126">
        <v>0</v>
      </c>
      <c r="L58" s="126">
        <v>0</v>
      </c>
      <c r="M58" s="264">
        <f t="shared" si="18"/>
        <v>5731</v>
      </c>
      <c r="N58" s="264">
        <f t="shared" si="19"/>
        <v>540</v>
      </c>
      <c r="O58" s="127"/>
      <c r="Q58" s="127"/>
      <c r="R58" s="127"/>
      <c r="S58" s="127"/>
    </row>
    <row r="59" spans="1:19" ht="12.75">
      <c r="A59" s="54">
        <v>43</v>
      </c>
      <c r="B59" s="57" t="s">
        <v>234</v>
      </c>
      <c r="C59" s="126">
        <v>22272</v>
      </c>
      <c r="D59" s="126">
        <v>2398</v>
      </c>
      <c r="E59" s="126">
        <v>385</v>
      </c>
      <c r="F59" s="126">
        <v>25</v>
      </c>
      <c r="G59" s="264">
        <f t="shared" si="16"/>
        <v>22657</v>
      </c>
      <c r="H59" s="264">
        <f t="shared" si="17"/>
        <v>2423</v>
      </c>
      <c r="I59" s="126">
        <v>753</v>
      </c>
      <c r="J59" s="126">
        <v>105</v>
      </c>
      <c r="K59" s="126">
        <v>252</v>
      </c>
      <c r="L59" s="126">
        <v>3</v>
      </c>
      <c r="M59" s="264">
        <f t="shared" si="18"/>
        <v>21652</v>
      </c>
      <c r="N59" s="264">
        <f t="shared" si="19"/>
        <v>2315</v>
      </c>
      <c r="O59" s="127"/>
      <c r="Q59" s="127"/>
      <c r="R59" s="127"/>
      <c r="S59" s="127"/>
    </row>
    <row r="60" spans="1:19" ht="12.75">
      <c r="A60" s="54">
        <v>44</v>
      </c>
      <c r="B60" s="57" t="s">
        <v>29</v>
      </c>
      <c r="C60" s="126">
        <v>26978</v>
      </c>
      <c r="D60" s="126">
        <v>2668</v>
      </c>
      <c r="E60" s="126">
        <v>266</v>
      </c>
      <c r="F60" s="126">
        <v>73</v>
      </c>
      <c r="G60" s="264">
        <f t="shared" si="16"/>
        <v>27244</v>
      </c>
      <c r="H60" s="264">
        <f t="shared" si="17"/>
        <v>2741</v>
      </c>
      <c r="I60" s="126">
        <v>0</v>
      </c>
      <c r="J60" s="126">
        <v>0</v>
      </c>
      <c r="K60" s="126">
        <v>282</v>
      </c>
      <c r="L60" s="126">
        <v>48</v>
      </c>
      <c r="M60" s="264">
        <f t="shared" si="18"/>
        <v>26962</v>
      </c>
      <c r="N60" s="264">
        <f t="shared" si="19"/>
        <v>2693</v>
      </c>
      <c r="O60" s="127"/>
      <c r="Q60" s="127"/>
      <c r="R60" s="127"/>
      <c r="S60" s="127"/>
    </row>
    <row r="61" spans="1:19" ht="12.75">
      <c r="A61" s="54">
        <v>45</v>
      </c>
      <c r="B61" s="57" t="s">
        <v>391</v>
      </c>
      <c r="C61" s="126">
        <v>42583</v>
      </c>
      <c r="D61" s="126">
        <v>7551</v>
      </c>
      <c r="E61" s="126">
        <v>320</v>
      </c>
      <c r="F61" s="126">
        <v>126</v>
      </c>
      <c r="G61" s="264">
        <f t="shared" si="16"/>
        <v>42903</v>
      </c>
      <c r="H61" s="264">
        <f t="shared" si="17"/>
        <v>7677</v>
      </c>
      <c r="I61" s="126">
        <v>542</v>
      </c>
      <c r="J61" s="126">
        <v>322</v>
      </c>
      <c r="K61" s="126">
        <v>123</v>
      </c>
      <c r="L61" s="126">
        <v>43</v>
      </c>
      <c r="M61" s="264">
        <f t="shared" si="18"/>
        <v>42238</v>
      </c>
      <c r="N61" s="264">
        <f t="shared" si="19"/>
        <v>7312</v>
      </c>
      <c r="O61" s="127"/>
      <c r="Q61" s="127"/>
      <c r="R61" s="127"/>
      <c r="S61" s="127"/>
    </row>
    <row r="62" spans="1:19" ht="12.75">
      <c r="A62" s="54">
        <v>46</v>
      </c>
      <c r="B62" s="57" t="s">
        <v>25</v>
      </c>
      <c r="C62" s="126">
        <v>11470</v>
      </c>
      <c r="D62" s="126">
        <v>818</v>
      </c>
      <c r="E62" s="126">
        <v>41</v>
      </c>
      <c r="F62" s="126">
        <v>5</v>
      </c>
      <c r="G62" s="264">
        <f t="shared" si="16"/>
        <v>11511</v>
      </c>
      <c r="H62" s="264">
        <f t="shared" si="17"/>
        <v>823</v>
      </c>
      <c r="I62" s="126">
        <v>0</v>
      </c>
      <c r="J62" s="126">
        <v>0</v>
      </c>
      <c r="K62" s="126">
        <v>0</v>
      </c>
      <c r="L62" s="126">
        <v>0</v>
      </c>
      <c r="M62" s="264">
        <f t="shared" si="18"/>
        <v>11511</v>
      </c>
      <c r="N62" s="264">
        <f t="shared" si="19"/>
        <v>823</v>
      </c>
      <c r="O62" s="127"/>
      <c r="Q62" s="127"/>
      <c r="R62" s="127"/>
      <c r="S62" s="127"/>
    </row>
    <row r="63" spans="1:19" ht="12.75">
      <c r="A63" s="54">
        <v>47</v>
      </c>
      <c r="B63" s="57" t="s">
        <v>28</v>
      </c>
      <c r="C63" s="126">
        <v>5787</v>
      </c>
      <c r="D63" s="126">
        <v>523</v>
      </c>
      <c r="E63" s="126">
        <v>0</v>
      </c>
      <c r="F63" s="126">
        <v>0</v>
      </c>
      <c r="G63" s="264">
        <f t="shared" si="16"/>
        <v>5787</v>
      </c>
      <c r="H63" s="264">
        <f t="shared" si="17"/>
        <v>523</v>
      </c>
      <c r="I63" s="126">
        <v>0</v>
      </c>
      <c r="J63" s="126">
        <v>0</v>
      </c>
      <c r="K63" s="126">
        <v>0</v>
      </c>
      <c r="L63" s="126">
        <v>0</v>
      </c>
      <c r="M63" s="264">
        <f t="shared" si="18"/>
        <v>5787</v>
      </c>
      <c r="N63" s="264">
        <f t="shared" si="19"/>
        <v>523</v>
      </c>
      <c r="O63" s="127"/>
      <c r="Q63" s="127"/>
      <c r="R63" s="127"/>
      <c r="S63" s="127"/>
    </row>
    <row r="64" spans="1:19" s="385" customFormat="1" ht="15">
      <c r="A64" s="54"/>
      <c r="B64" s="366" t="s">
        <v>123</v>
      </c>
      <c r="C64" s="367">
        <f aca="true" t="shared" si="20" ref="C64:N64">SUM(C56:C63)</f>
        <v>203225</v>
      </c>
      <c r="D64" s="367">
        <f t="shared" si="20"/>
        <v>19104</v>
      </c>
      <c r="E64" s="367">
        <f t="shared" si="20"/>
        <v>1034</v>
      </c>
      <c r="F64" s="367">
        <f t="shared" si="20"/>
        <v>240</v>
      </c>
      <c r="G64" s="410">
        <f t="shared" si="20"/>
        <v>204259</v>
      </c>
      <c r="H64" s="410">
        <f t="shared" si="20"/>
        <v>19344</v>
      </c>
      <c r="I64" s="367">
        <f t="shared" si="20"/>
        <v>1361</v>
      </c>
      <c r="J64" s="367">
        <f t="shared" si="20"/>
        <v>442</v>
      </c>
      <c r="K64" s="367">
        <f t="shared" si="20"/>
        <v>682</v>
      </c>
      <c r="L64" s="367">
        <f t="shared" si="20"/>
        <v>97</v>
      </c>
      <c r="M64" s="410">
        <f t="shared" si="20"/>
        <v>202216</v>
      </c>
      <c r="N64" s="410">
        <f t="shared" si="20"/>
        <v>18805</v>
      </c>
      <c r="O64" s="384"/>
      <c r="P64" s="383"/>
      <c r="Q64" s="384"/>
      <c r="R64" s="384"/>
      <c r="S64" s="384"/>
    </row>
    <row r="65" spans="1:19" ht="12.75">
      <c r="A65" s="54"/>
      <c r="C65" s="126"/>
      <c r="D65" s="126"/>
      <c r="E65" s="126"/>
      <c r="F65" s="126"/>
      <c r="G65" s="264"/>
      <c r="H65" s="264"/>
      <c r="I65" s="126"/>
      <c r="J65" s="126"/>
      <c r="K65" s="126"/>
      <c r="L65" s="126"/>
      <c r="M65" s="264"/>
      <c r="N65" s="264"/>
      <c r="O65" s="127"/>
      <c r="Q65" s="127"/>
      <c r="R65" s="127"/>
      <c r="S65" s="127"/>
    </row>
    <row r="66" spans="1:19" ht="12.75">
      <c r="A66" s="54">
        <v>48</v>
      </c>
      <c r="B66" s="126" t="s">
        <v>34</v>
      </c>
      <c r="C66" s="126">
        <v>0</v>
      </c>
      <c r="D66" s="126">
        <v>0</v>
      </c>
      <c r="E66" s="126">
        <v>0</v>
      </c>
      <c r="F66" s="126">
        <v>0</v>
      </c>
      <c r="G66" s="264">
        <f>C66+E66</f>
        <v>0</v>
      </c>
      <c r="H66" s="264">
        <f>D66+F66</f>
        <v>0</v>
      </c>
      <c r="I66" s="126">
        <v>0</v>
      </c>
      <c r="J66" s="126">
        <v>0</v>
      </c>
      <c r="K66" s="126">
        <v>0</v>
      </c>
      <c r="L66" s="126">
        <v>0</v>
      </c>
      <c r="M66" s="264">
        <f>G66-I66-K66</f>
        <v>0</v>
      </c>
      <c r="N66" s="264">
        <f>H66-J66-L66</f>
        <v>0</v>
      </c>
      <c r="O66" s="127"/>
      <c r="Q66" s="127"/>
      <c r="R66" s="127"/>
      <c r="S66" s="127"/>
    </row>
    <row r="67" spans="1:19" ht="12.75">
      <c r="A67" s="54">
        <v>49</v>
      </c>
      <c r="B67" s="126" t="s">
        <v>130</v>
      </c>
      <c r="C67" s="126">
        <v>0</v>
      </c>
      <c r="D67" s="126">
        <v>0</v>
      </c>
      <c r="E67" s="126">
        <v>0</v>
      </c>
      <c r="F67" s="126">
        <v>0</v>
      </c>
      <c r="G67" s="264">
        <f>C67+E67</f>
        <v>0</v>
      </c>
      <c r="H67" s="264">
        <f>D67+F67</f>
        <v>0</v>
      </c>
      <c r="I67" s="126">
        <v>0</v>
      </c>
      <c r="J67" s="126">
        <v>0</v>
      </c>
      <c r="K67" s="126">
        <v>0</v>
      </c>
      <c r="L67" s="126">
        <v>0</v>
      </c>
      <c r="M67" s="264">
        <f>G67-I67-K67</f>
        <v>0</v>
      </c>
      <c r="N67" s="264">
        <f>H67-J67-L67</f>
        <v>0</v>
      </c>
      <c r="O67" s="127"/>
      <c r="Q67" s="127"/>
      <c r="R67" s="127"/>
      <c r="S67" s="127"/>
    </row>
    <row r="68" spans="1:19" s="385" customFormat="1" ht="15">
      <c r="A68" s="368"/>
      <c r="B68" s="366" t="s">
        <v>123</v>
      </c>
      <c r="C68" s="367">
        <f aca="true" t="shared" si="21" ref="C68:N68">SUM(C66:C67)</f>
        <v>0</v>
      </c>
      <c r="D68" s="367">
        <f t="shared" si="21"/>
        <v>0</v>
      </c>
      <c r="E68" s="367">
        <f t="shared" si="21"/>
        <v>0</v>
      </c>
      <c r="F68" s="367">
        <f t="shared" si="21"/>
        <v>0</v>
      </c>
      <c r="G68" s="410">
        <f t="shared" si="21"/>
        <v>0</v>
      </c>
      <c r="H68" s="410">
        <f t="shared" si="21"/>
        <v>0</v>
      </c>
      <c r="I68" s="367">
        <f t="shared" si="21"/>
        <v>0</v>
      </c>
      <c r="J68" s="367">
        <f t="shared" si="21"/>
        <v>0</v>
      </c>
      <c r="K68" s="367">
        <f t="shared" si="21"/>
        <v>0</v>
      </c>
      <c r="L68" s="367">
        <f t="shared" si="21"/>
        <v>0</v>
      </c>
      <c r="M68" s="410">
        <f t="shared" si="21"/>
        <v>0</v>
      </c>
      <c r="N68" s="410">
        <f t="shared" si="21"/>
        <v>0</v>
      </c>
      <c r="P68" s="383"/>
      <c r="Q68" s="384"/>
      <c r="R68" s="384"/>
      <c r="S68" s="384"/>
    </row>
    <row r="69" spans="1:19" s="385" customFormat="1" ht="15">
      <c r="A69" s="368"/>
      <c r="B69" s="366" t="s">
        <v>35</v>
      </c>
      <c r="C69" s="367">
        <f aca="true" t="shared" si="22" ref="C69:N69">C49+C64+C68</f>
        <v>875873</v>
      </c>
      <c r="D69" s="367">
        <f t="shared" si="22"/>
        <v>176453</v>
      </c>
      <c r="E69" s="367">
        <f t="shared" si="22"/>
        <v>7917</v>
      </c>
      <c r="F69" s="367">
        <f t="shared" si="22"/>
        <v>4548</v>
      </c>
      <c r="G69" s="410">
        <f t="shared" si="22"/>
        <v>883790</v>
      </c>
      <c r="H69" s="410">
        <f t="shared" si="22"/>
        <v>181001</v>
      </c>
      <c r="I69" s="367">
        <f t="shared" si="22"/>
        <v>7764</v>
      </c>
      <c r="J69" s="367">
        <f t="shared" si="22"/>
        <v>2471</v>
      </c>
      <c r="K69" s="367">
        <f t="shared" si="22"/>
        <v>1247</v>
      </c>
      <c r="L69" s="367">
        <f t="shared" si="22"/>
        <v>777</v>
      </c>
      <c r="M69" s="410">
        <f t="shared" si="22"/>
        <v>874779</v>
      </c>
      <c r="N69" s="410">
        <f t="shared" si="22"/>
        <v>177753</v>
      </c>
      <c r="P69" s="383"/>
      <c r="Q69" s="384"/>
      <c r="R69" s="384"/>
      <c r="S69" s="384"/>
    </row>
    <row r="71" ht="12.75">
      <c r="C71" s="127" t="s">
        <v>36</v>
      </c>
    </row>
    <row r="72" ht="12.75">
      <c r="C72" s="127" t="s">
        <v>36</v>
      </c>
    </row>
    <row r="73" spans="3:4" ht="12.75">
      <c r="C73" s="127">
        <v>7</v>
      </c>
      <c r="D73" s="127" t="s">
        <v>404</v>
      </c>
    </row>
    <row r="78" ht="12.75">
      <c r="D78" s="127">
        <v>7</v>
      </c>
    </row>
  </sheetData>
  <sheetProtection/>
  <mergeCells count="12">
    <mergeCell ref="I53:J54"/>
    <mergeCell ref="K53:L54"/>
    <mergeCell ref="M53:N54"/>
    <mergeCell ref="C4:D5"/>
    <mergeCell ref="E4:F5"/>
    <mergeCell ref="G4:H5"/>
    <mergeCell ref="I4:J5"/>
    <mergeCell ref="K4:L5"/>
    <mergeCell ref="M4:N5"/>
    <mergeCell ref="C53:D54"/>
    <mergeCell ref="E53:F54"/>
    <mergeCell ref="G53:H54"/>
  </mergeCells>
  <printOptions gridLines="1" horizontalCentered="1"/>
  <pageMargins left="0.75" right="0.75" top="0.56" bottom="0.62" header="0.5" footer="0.5"/>
  <pageSetup blackAndWhite="1" horizontalDpi="300" verticalDpi="300" orientation="landscape" paperSize="9" scale="78" r:id="rId2"/>
  <rowBreaks count="1" manualBreakCount="1">
    <brk id="4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78"/>
  <sheetViews>
    <sheetView zoomScale="120" zoomScaleNormal="120" zoomScalePageLayoutView="0" workbookViewId="0" topLeftCell="H43">
      <selection activeCell="E4" sqref="E4:N4"/>
    </sheetView>
  </sheetViews>
  <sheetFormatPr defaultColWidth="9.140625" defaultRowHeight="12.75"/>
  <cols>
    <col min="1" max="1" width="3.7109375" style="103" customWidth="1"/>
    <col min="2" max="2" width="21.57421875" style="103" bestFit="1" customWidth="1"/>
    <col min="3" max="3" width="11.57421875" style="99" customWidth="1"/>
    <col min="4" max="4" width="10.8515625" style="99" customWidth="1"/>
    <col min="5" max="5" width="9.7109375" style="22" customWidth="1"/>
    <col min="6" max="6" width="10.140625" style="22" customWidth="1"/>
    <col min="7" max="7" width="9.7109375" style="22" customWidth="1"/>
    <col min="8" max="8" width="12.28125" style="22" customWidth="1"/>
    <col min="9" max="9" width="9.7109375" style="22" customWidth="1"/>
    <col min="10" max="10" width="9.421875" style="22" customWidth="1"/>
    <col min="11" max="11" width="10.421875" style="22" customWidth="1"/>
    <col min="12" max="12" width="11.28125" style="22" customWidth="1"/>
    <col min="13" max="13" width="10.421875" style="99" customWidth="1"/>
    <col min="14" max="14" width="12.7109375" style="99" customWidth="1"/>
    <col min="15" max="15" width="9.140625" style="103" customWidth="1"/>
    <col min="16" max="16" width="9.140625" style="19" customWidth="1"/>
    <col min="17" max="16384" width="9.140625" style="103" customWidth="1"/>
  </cols>
  <sheetData>
    <row r="1" spans="1:14" ht="14.25">
      <c r="A1" s="201"/>
      <c r="B1" s="201"/>
      <c r="C1" s="251"/>
      <c r="D1" s="251"/>
      <c r="E1" s="67"/>
      <c r="F1" s="67"/>
      <c r="G1" s="67"/>
      <c r="H1" s="67"/>
      <c r="I1" s="67"/>
      <c r="J1" s="67"/>
      <c r="K1" s="67"/>
      <c r="L1" s="67"/>
      <c r="M1" s="250"/>
      <c r="N1" s="250"/>
    </row>
    <row r="2" spans="1:14" ht="14.25">
      <c r="A2" s="102"/>
      <c r="B2" s="102"/>
      <c r="C2" s="251"/>
      <c r="D2" s="191"/>
      <c r="E2" s="67"/>
      <c r="F2" s="67"/>
      <c r="G2" s="67"/>
      <c r="H2" s="67"/>
      <c r="I2" s="68"/>
      <c r="J2" s="67"/>
      <c r="K2" s="67"/>
      <c r="L2" s="67"/>
      <c r="M2" s="191"/>
      <c r="N2" s="191"/>
    </row>
    <row r="3" spans="1:14" ht="15" customHeight="1">
      <c r="A3" s="102"/>
      <c r="B3" s="102"/>
      <c r="C3" s="270" t="s">
        <v>36</v>
      </c>
      <c r="D3" s="270" t="s">
        <v>36</v>
      </c>
      <c r="E3" s="227" t="s">
        <v>36</v>
      </c>
      <c r="F3" s="227" t="s">
        <v>36</v>
      </c>
      <c r="G3" s="227" t="s">
        <v>36</v>
      </c>
      <c r="H3" s="227"/>
      <c r="I3" s="227" t="s">
        <v>36</v>
      </c>
      <c r="J3" s="67"/>
      <c r="K3" s="67"/>
      <c r="L3" s="67"/>
      <c r="M3" s="250"/>
      <c r="N3" s="250"/>
    </row>
    <row r="4" spans="1:14" ht="18" customHeight="1">
      <c r="A4" s="202" t="s">
        <v>4</v>
      </c>
      <c r="B4" s="202" t="s">
        <v>5</v>
      </c>
      <c r="C4" s="694" t="s">
        <v>189</v>
      </c>
      <c r="D4" s="695"/>
      <c r="E4" s="659" t="s">
        <v>188</v>
      </c>
      <c r="F4" s="670"/>
      <c r="G4" s="670"/>
      <c r="H4" s="670"/>
      <c r="I4" s="670"/>
      <c r="J4" s="670"/>
      <c r="K4" s="670"/>
      <c r="L4" s="670"/>
      <c r="M4" s="670"/>
      <c r="N4" s="660"/>
    </row>
    <row r="5" spans="1:14" ht="12.75">
      <c r="A5" s="462" t="s">
        <v>6</v>
      </c>
      <c r="B5" s="462"/>
      <c r="C5" s="696"/>
      <c r="D5" s="697"/>
      <c r="E5" s="131" t="s">
        <v>126</v>
      </c>
      <c r="F5" s="132"/>
      <c r="G5" s="131" t="s">
        <v>128</v>
      </c>
      <c r="H5" s="132"/>
      <c r="I5" s="131" t="s">
        <v>127</v>
      </c>
      <c r="J5" s="132"/>
      <c r="K5" s="131" t="s">
        <v>181</v>
      </c>
      <c r="L5" s="132"/>
      <c r="M5" s="253" t="s">
        <v>182</v>
      </c>
      <c r="N5" s="254"/>
    </row>
    <row r="6" spans="1:14" ht="12.75">
      <c r="A6" s="186"/>
      <c r="B6" s="186"/>
      <c r="C6" s="252" t="s">
        <v>57</v>
      </c>
      <c r="D6" s="252" t="s">
        <v>63</v>
      </c>
      <c r="E6" s="130" t="s">
        <v>57</v>
      </c>
      <c r="F6" s="130" t="s">
        <v>63</v>
      </c>
      <c r="G6" s="130" t="s">
        <v>57</v>
      </c>
      <c r="H6" s="130" t="s">
        <v>63</v>
      </c>
      <c r="I6" s="130" t="s">
        <v>57</v>
      </c>
      <c r="J6" s="130" t="s">
        <v>63</v>
      </c>
      <c r="K6" s="130" t="s">
        <v>57</v>
      </c>
      <c r="L6" s="130" t="s">
        <v>63</v>
      </c>
      <c r="M6" s="252" t="s">
        <v>57</v>
      </c>
      <c r="N6" s="252" t="s">
        <v>63</v>
      </c>
    </row>
    <row r="7" spans="1:19" ht="12.75">
      <c r="A7" s="54">
        <v>1</v>
      </c>
      <c r="B7" s="57" t="s">
        <v>7</v>
      </c>
      <c r="C7" s="190">
        <f>'TABLE-23'!M7</f>
        <v>28560</v>
      </c>
      <c r="D7" s="190">
        <f>'TABLE-23'!N7</f>
        <v>2699</v>
      </c>
      <c r="E7" s="57">
        <v>1941</v>
      </c>
      <c r="F7" s="57">
        <v>1326</v>
      </c>
      <c r="G7" s="57">
        <v>11578</v>
      </c>
      <c r="H7" s="57">
        <v>660</v>
      </c>
      <c r="I7" s="57">
        <v>4363</v>
      </c>
      <c r="J7" s="57">
        <v>281</v>
      </c>
      <c r="K7" s="57">
        <v>9165</v>
      </c>
      <c r="L7" s="57">
        <v>149</v>
      </c>
      <c r="M7" s="190">
        <f aca="true" t="shared" si="0" ref="M7:M47">C7-E7-G7-I7-K7</f>
        <v>1513</v>
      </c>
      <c r="N7" s="190">
        <f aca="true" t="shared" si="1" ref="N7:N47">D7-F7-H7-J7-L7</f>
        <v>283</v>
      </c>
      <c r="O7" s="22"/>
      <c r="P7" s="22"/>
      <c r="Q7" s="22"/>
      <c r="R7" s="22"/>
      <c r="S7" s="22"/>
    </row>
    <row r="8" spans="1:19" ht="12.75">
      <c r="A8" s="54">
        <v>2</v>
      </c>
      <c r="B8" s="57" t="s">
        <v>8</v>
      </c>
      <c r="C8" s="190">
        <f>'TABLE-23'!M8</f>
        <v>438</v>
      </c>
      <c r="D8" s="190">
        <f>'TABLE-23'!N8</f>
        <v>193</v>
      </c>
      <c r="E8" s="57">
        <v>87</v>
      </c>
      <c r="F8" s="57">
        <v>26</v>
      </c>
      <c r="G8" s="57">
        <v>10</v>
      </c>
      <c r="H8" s="57">
        <v>0</v>
      </c>
      <c r="I8" s="57">
        <v>54</v>
      </c>
      <c r="J8" s="57">
        <v>26</v>
      </c>
      <c r="K8" s="57">
        <v>44</v>
      </c>
      <c r="L8" s="57">
        <v>36</v>
      </c>
      <c r="M8" s="190">
        <f t="shared" si="0"/>
        <v>243</v>
      </c>
      <c r="N8" s="190">
        <f t="shared" si="1"/>
        <v>105</v>
      </c>
      <c r="O8" s="22"/>
      <c r="Q8" s="22"/>
      <c r="R8" s="22"/>
      <c r="S8" s="22"/>
    </row>
    <row r="9" spans="1:19" ht="12.75">
      <c r="A9" s="54">
        <v>3</v>
      </c>
      <c r="B9" s="57" t="s">
        <v>9</v>
      </c>
      <c r="C9" s="190">
        <f>'TABLE-23'!M9</f>
        <v>20496</v>
      </c>
      <c r="D9" s="190">
        <f>'TABLE-23'!N9</f>
        <v>2343</v>
      </c>
      <c r="E9" s="57">
        <v>8479</v>
      </c>
      <c r="F9" s="57">
        <v>1016</v>
      </c>
      <c r="G9" s="57">
        <v>5511</v>
      </c>
      <c r="H9" s="57">
        <v>770</v>
      </c>
      <c r="I9" s="57">
        <v>4060</v>
      </c>
      <c r="J9" s="57">
        <v>387</v>
      </c>
      <c r="K9" s="57">
        <v>2439</v>
      </c>
      <c r="L9" s="57">
        <v>137</v>
      </c>
      <c r="M9" s="190">
        <f t="shared" si="0"/>
        <v>7</v>
      </c>
      <c r="N9" s="190">
        <f t="shared" si="1"/>
        <v>33</v>
      </c>
      <c r="O9" s="22"/>
      <c r="P9" s="22"/>
      <c r="Q9" s="22"/>
      <c r="R9" s="22"/>
      <c r="S9" s="22"/>
    </row>
    <row r="10" spans="1:19" ht="12.75">
      <c r="A10" s="54">
        <v>4</v>
      </c>
      <c r="B10" s="57" t="s">
        <v>10</v>
      </c>
      <c r="C10" s="190">
        <f>'TABLE-23'!M10</f>
        <v>119646</v>
      </c>
      <c r="D10" s="190">
        <f>'TABLE-23'!N10</f>
        <v>18470</v>
      </c>
      <c r="E10" s="57">
        <v>3487</v>
      </c>
      <c r="F10" s="57">
        <v>5597</v>
      </c>
      <c r="G10" s="57">
        <v>5452</v>
      </c>
      <c r="H10" s="57">
        <v>4877</v>
      </c>
      <c r="I10" s="57">
        <v>1918</v>
      </c>
      <c r="J10" s="57">
        <v>1781</v>
      </c>
      <c r="K10" s="57">
        <v>2731</v>
      </c>
      <c r="L10" s="57">
        <v>418</v>
      </c>
      <c r="M10" s="190">
        <f t="shared" si="0"/>
        <v>106058</v>
      </c>
      <c r="N10" s="190">
        <f t="shared" si="1"/>
        <v>5797</v>
      </c>
      <c r="O10" s="22"/>
      <c r="P10" s="22"/>
      <c r="Q10" s="22"/>
      <c r="R10" s="22"/>
      <c r="S10" s="22"/>
    </row>
    <row r="11" spans="1:19" ht="12.75">
      <c r="A11" s="54">
        <v>5</v>
      </c>
      <c r="B11" s="57" t="s">
        <v>11</v>
      </c>
      <c r="C11" s="190">
        <f>'TABLE-23'!M11</f>
        <v>11006</v>
      </c>
      <c r="D11" s="190">
        <f>'TABLE-23'!N11</f>
        <v>1570</v>
      </c>
      <c r="E11" s="57">
        <v>121</v>
      </c>
      <c r="F11" s="57">
        <v>38</v>
      </c>
      <c r="G11" s="57">
        <v>2558</v>
      </c>
      <c r="H11" s="57">
        <v>549</v>
      </c>
      <c r="I11" s="57">
        <v>979</v>
      </c>
      <c r="J11" s="57">
        <v>162</v>
      </c>
      <c r="K11" s="57">
        <v>2043</v>
      </c>
      <c r="L11" s="57">
        <v>239</v>
      </c>
      <c r="M11" s="190">
        <f t="shared" si="0"/>
        <v>5305</v>
      </c>
      <c r="N11" s="190">
        <f t="shared" si="1"/>
        <v>582</v>
      </c>
      <c r="O11" s="22"/>
      <c r="P11" s="22"/>
      <c r="Q11" s="22"/>
      <c r="R11" s="22"/>
      <c r="S11" s="22"/>
    </row>
    <row r="12" spans="1:19" ht="12.75">
      <c r="A12" s="54">
        <v>6</v>
      </c>
      <c r="B12" s="57" t="s">
        <v>12</v>
      </c>
      <c r="C12" s="190">
        <f>'TABLE-23'!M12</f>
        <v>1139</v>
      </c>
      <c r="D12" s="190">
        <f>'TABLE-23'!N12</f>
        <v>307</v>
      </c>
      <c r="E12" s="57">
        <v>0</v>
      </c>
      <c r="F12" s="57">
        <v>0</v>
      </c>
      <c r="G12" s="57">
        <v>566</v>
      </c>
      <c r="H12" s="57">
        <v>125</v>
      </c>
      <c r="I12" s="57">
        <v>225</v>
      </c>
      <c r="J12" s="57">
        <v>142</v>
      </c>
      <c r="K12" s="57">
        <v>55</v>
      </c>
      <c r="L12" s="57">
        <v>33</v>
      </c>
      <c r="M12" s="190">
        <f t="shared" si="0"/>
        <v>293</v>
      </c>
      <c r="N12" s="190">
        <f t="shared" si="1"/>
        <v>7</v>
      </c>
      <c r="O12" s="22"/>
      <c r="P12" s="22"/>
      <c r="Q12" s="22"/>
      <c r="R12" s="22"/>
      <c r="S12" s="22"/>
    </row>
    <row r="13" spans="1:19" ht="12.75">
      <c r="A13" s="54">
        <v>7</v>
      </c>
      <c r="B13" s="57" t="s">
        <v>13</v>
      </c>
      <c r="C13" s="190">
        <f>'TABLE-23'!M13</f>
        <v>105595</v>
      </c>
      <c r="D13" s="190">
        <f>'TABLE-23'!N13</f>
        <v>24922</v>
      </c>
      <c r="E13" s="57">
        <v>2469</v>
      </c>
      <c r="F13" s="57">
        <v>3408</v>
      </c>
      <c r="G13" s="57">
        <v>31124</v>
      </c>
      <c r="H13" s="57">
        <v>6728</v>
      </c>
      <c r="I13" s="57">
        <v>22305</v>
      </c>
      <c r="J13" s="57">
        <v>4628</v>
      </c>
      <c r="K13" s="57">
        <v>21845</v>
      </c>
      <c r="L13" s="57">
        <v>4915</v>
      </c>
      <c r="M13" s="190">
        <f t="shared" si="0"/>
        <v>27852</v>
      </c>
      <c r="N13" s="190">
        <f t="shared" si="1"/>
        <v>5243</v>
      </c>
      <c r="O13" s="22"/>
      <c r="P13" s="22"/>
      <c r="Q13" s="22"/>
      <c r="R13" s="22"/>
      <c r="S13" s="22"/>
    </row>
    <row r="14" spans="1:19" ht="12.75">
      <c r="A14" s="54">
        <v>8</v>
      </c>
      <c r="B14" s="57" t="s">
        <v>162</v>
      </c>
      <c r="C14" s="190">
        <f>'TABLE-23'!M14</f>
        <v>195</v>
      </c>
      <c r="D14" s="190">
        <f>'TABLE-23'!N14</f>
        <v>131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190">
        <f t="shared" si="0"/>
        <v>195</v>
      </c>
      <c r="N14" s="190">
        <f t="shared" si="1"/>
        <v>131</v>
      </c>
      <c r="O14" s="22"/>
      <c r="P14" s="22"/>
      <c r="Q14" s="22"/>
      <c r="R14" s="22"/>
      <c r="S14" s="22"/>
    </row>
    <row r="15" spans="1:19" ht="12.75">
      <c r="A15" s="54">
        <v>9</v>
      </c>
      <c r="B15" s="57" t="s">
        <v>14</v>
      </c>
      <c r="C15" s="190">
        <f>'TABLE-23'!M15</f>
        <v>3174</v>
      </c>
      <c r="D15" s="190">
        <f>'TABLE-23'!N15</f>
        <v>3139</v>
      </c>
      <c r="E15" s="57">
        <v>307</v>
      </c>
      <c r="F15" s="57">
        <v>247</v>
      </c>
      <c r="G15" s="57">
        <v>1365</v>
      </c>
      <c r="H15" s="57">
        <v>724</v>
      </c>
      <c r="I15" s="57">
        <v>453</v>
      </c>
      <c r="J15" s="57">
        <v>556</v>
      </c>
      <c r="K15" s="57">
        <v>682</v>
      </c>
      <c r="L15" s="57">
        <v>1592</v>
      </c>
      <c r="M15" s="190">
        <f t="shared" si="0"/>
        <v>367</v>
      </c>
      <c r="N15" s="190">
        <f t="shared" si="1"/>
        <v>20</v>
      </c>
      <c r="O15" s="22"/>
      <c r="P15" s="22"/>
      <c r="Q15" s="22"/>
      <c r="R15" s="22"/>
      <c r="S15" s="22"/>
    </row>
    <row r="16" spans="1:19" ht="12.75">
      <c r="A16" s="54">
        <v>10</v>
      </c>
      <c r="B16" s="57" t="s">
        <v>15</v>
      </c>
      <c r="C16" s="190">
        <f>'TABLE-23'!M16</f>
        <v>1016</v>
      </c>
      <c r="D16" s="190">
        <f>'TABLE-23'!N16</f>
        <v>613</v>
      </c>
      <c r="E16" s="57">
        <v>14</v>
      </c>
      <c r="F16" s="57">
        <v>9</v>
      </c>
      <c r="G16" s="57">
        <v>122</v>
      </c>
      <c r="H16" s="57">
        <v>63</v>
      </c>
      <c r="I16" s="57">
        <v>117</v>
      </c>
      <c r="J16" s="57">
        <v>52</v>
      </c>
      <c r="K16" s="57">
        <v>202</v>
      </c>
      <c r="L16" s="57">
        <v>91</v>
      </c>
      <c r="M16" s="190">
        <f t="shared" si="0"/>
        <v>561</v>
      </c>
      <c r="N16" s="190">
        <f t="shared" si="1"/>
        <v>398</v>
      </c>
      <c r="O16" s="22"/>
      <c r="P16" s="22"/>
      <c r="Q16" s="22"/>
      <c r="R16" s="22"/>
      <c r="S16" s="22"/>
    </row>
    <row r="17" spans="1:19" ht="12.75">
      <c r="A17" s="54">
        <v>11</v>
      </c>
      <c r="B17" s="57" t="s">
        <v>16</v>
      </c>
      <c r="C17" s="190">
        <f>'TABLE-23'!M17</f>
        <v>666</v>
      </c>
      <c r="D17" s="190">
        <f>'TABLE-23'!N17</f>
        <v>162</v>
      </c>
      <c r="E17" s="57">
        <v>0</v>
      </c>
      <c r="F17" s="57">
        <v>0</v>
      </c>
      <c r="G17" s="57">
        <v>296</v>
      </c>
      <c r="H17" s="57">
        <v>92</v>
      </c>
      <c r="I17" s="57">
        <v>370</v>
      </c>
      <c r="J17" s="57">
        <v>69</v>
      </c>
      <c r="K17" s="57">
        <v>0</v>
      </c>
      <c r="L17" s="57">
        <v>0</v>
      </c>
      <c r="M17" s="190">
        <f t="shared" si="0"/>
        <v>0</v>
      </c>
      <c r="N17" s="190">
        <f t="shared" si="1"/>
        <v>1</v>
      </c>
      <c r="O17" s="22"/>
      <c r="P17" s="22"/>
      <c r="Q17" s="22"/>
      <c r="R17" s="22"/>
      <c r="S17" s="22"/>
    </row>
    <row r="18" spans="1:19" ht="12.75">
      <c r="A18" s="54">
        <v>12</v>
      </c>
      <c r="B18" s="57" t="s">
        <v>17</v>
      </c>
      <c r="C18" s="190">
        <f>'TABLE-23'!M18</f>
        <v>3121</v>
      </c>
      <c r="D18" s="190">
        <f>'TABLE-23'!N18</f>
        <v>883</v>
      </c>
      <c r="E18" s="57">
        <v>1450</v>
      </c>
      <c r="F18" s="57">
        <v>499</v>
      </c>
      <c r="G18" s="57">
        <v>735</v>
      </c>
      <c r="H18" s="57">
        <v>115</v>
      </c>
      <c r="I18" s="57">
        <v>639</v>
      </c>
      <c r="J18" s="57">
        <v>97</v>
      </c>
      <c r="K18" s="57">
        <v>242</v>
      </c>
      <c r="L18" s="57">
        <v>137</v>
      </c>
      <c r="M18" s="190">
        <f t="shared" si="0"/>
        <v>55</v>
      </c>
      <c r="N18" s="190">
        <f t="shared" si="1"/>
        <v>35</v>
      </c>
      <c r="O18" s="22"/>
      <c r="P18" s="22"/>
      <c r="Q18" s="22"/>
      <c r="R18" s="22"/>
      <c r="S18" s="22"/>
    </row>
    <row r="19" spans="1:19" ht="12.75">
      <c r="A19" s="54">
        <v>13</v>
      </c>
      <c r="B19" s="57" t="s">
        <v>164</v>
      </c>
      <c r="C19" s="190">
        <f>'TABLE-23'!M19</f>
        <v>3015</v>
      </c>
      <c r="D19" s="190">
        <f>'TABLE-23'!N19</f>
        <v>1926</v>
      </c>
      <c r="E19" s="57">
        <v>537</v>
      </c>
      <c r="F19" s="57">
        <v>383</v>
      </c>
      <c r="G19" s="57">
        <v>1453</v>
      </c>
      <c r="H19" s="57">
        <v>877</v>
      </c>
      <c r="I19" s="57">
        <v>235</v>
      </c>
      <c r="J19" s="57">
        <v>257</v>
      </c>
      <c r="K19" s="57">
        <v>764</v>
      </c>
      <c r="L19" s="57">
        <v>405</v>
      </c>
      <c r="M19" s="190">
        <f t="shared" si="0"/>
        <v>26</v>
      </c>
      <c r="N19" s="190">
        <f t="shared" si="1"/>
        <v>4</v>
      </c>
      <c r="O19" s="22"/>
      <c r="P19" s="22"/>
      <c r="Q19" s="22"/>
      <c r="R19" s="22"/>
      <c r="S19" s="22"/>
    </row>
    <row r="20" spans="1:19" ht="12.75">
      <c r="A20" s="54">
        <v>14</v>
      </c>
      <c r="B20" s="57" t="s">
        <v>77</v>
      </c>
      <c r="C20" s="190">
        <f>'TABLE-23'!M20</f>
        <v>32699</v>
      </c>
      <c r="D20" s="190">
        <f>'TABLE-23'!N20</f>
        <v>7407</v>
      </c>
      <c r="E20" s="57">
        <v>2148</v>
      </c>
      <c r="F20" s="57">
        <v>1235</v>
      </c>
      <c r="G20" s="57">
        <v>9157</v>
      </c>
      <c r="H20" s="57">
        <v>3283</v>
      </c>
      <c r="I20" s="57">
        <v>13241</v>
      </c>
      <c r="J20" s="57">
        <v>2622</v>
      </c>
      <c r="K20" s="57">
        <v>7857</v>
      </c>
      <c r="L20" s="57">
        <v>195</v>
      </c>
      <c r="M20" s="190">
        <f t="shared" si="0"/>
        <v>296</v>
      </c>
      <c r="N20" s="190">
        <f t="shared" si="1"/>
        <v>72</v>
      </c>
      <c r="O20" s="22" t="s">
        <v>36</v>
      </c>
      <c r="P20" s="22"/>
      <c r="Q20" s="22"/>
      <c r="R20" s="22"/>
      <c r="S20" s="22"/>
    </row>
    <row r="21" spans="1:19" ht="12.75">
      <c r="A21" s="54">
        <v>15</v>
      </c>
      <c r="B21" s="57" t="s">
        <v>105</v>
      </c>
      <c r="C21" s="190">
        <f>'TABLE-23'!M21</f>
        <v>8499</v>
      </c>
      <c r="D21" s="190">
        <f>'TABLE-23'!N21</f>
        <v>993</v>
      </c>
      <c r="E21" s="57">
        <v>0</v>
      </c>
      <c r="F21" s="57">
        <v>0</v>
      </c>
      <c r="G21" s="57">
        <v>4208</v>
      </c>
      <c r="H21" s="57">
        <v>562</v>
      </c>
      <c r="I21" s="57">
        <v>3810</v>
      </c>
      <c r="J21" s="57">
        <v>128</v>
      </c>
      <c r="K21" s="57">
        <v>481</v>
      </c>
      <c r="L21" s="57">
        <v>299</v>
      </c>
      <c r="M21" s="190">
        <f t="shared" si="0"/>
        <v>0</v>
      </c>
      <c r="N21" s="190">
        <f t="shared" si="1"/>
        <v>4</v>
      </c>
      <c r="O21" s="22"/>
      <c r="Q21" s="22"/>
      <c r="R21" s="22"/>
      <c r="S21" s="22"/>
    </row>
    <row r="22" spans="1:19" ht="12.75">
      <c r="A22" s="54">
        <v>16</v>
      </c>
      <c r="B22" s="57" t="s">
        <v>20</v>
      </c>
      <c r="C22" s="190">
        <f>'TABLE-23'!M22</f>
        <v>24577</v>
      </c>
      <c r="D22" s="190">
        <f>'TABLE-23'!N22</f>
        <v>3899</v>
      </c>
      <c r="E22" s="57">
        <v>8034</v>
      </c>
      <c r="F22" s="57">
        <v>1847</v>
      </c>
      <c r="G22" s="57">
        <v>7458</v>
      </c>
      <c r="H22" s="57">
        <v>950</v>
      </c>
      <c r="I22" s="57">
        <v>6009</v>
      </c>
      <c r="J22" s="57">
        <v>528</v>
      </c>
      <c r="K22" s="57">
        <v>3059</v>
      </c>
      <c r="L22" s="57">
        <v>551</v>
      </c>
      <c r="M22" s="190">
        <f t="shared" si="0"/>
        <v>17</v>
      </c>
      <c r="N22" s="190">
        <f t="shared" si="1"/>
        <v>23</v>
      </c>
      <c r="O22" s="22"/>
      <c r="P22" s="22"/>
      <c r="Q22" s="22"/>
      <c r="R22" s="22"/>
      <c r="S22" s="22"/>
    </row>
    <row r="23" spans="1:19" ht="12.75">
      <c r="A23" s="54">
        <v>17</v>
      </c>
      <c r="B23" s="57" t="s">
        <v>21</v>
      </c>
      <c r="C23" s="190">
        <f>'TABLE-23'!M23</f>
        <v>25734</v>
      </c>
      <c r="D23" s="190">
        <f>'TABLE-23'!N23</f>
        <v>10958</v>
      </c>
      <c r="E23" s="57">
        <v>2637</v>
      </c>
      <c r="F23" s="57">
        <v>289</v>
      </c>
      <c r="G23" s="57">
        <v>3415</v>
      </c>
      <c r="H23" s="57">
        <v>622</v>
      </c>
      <c r="I23" s="57">
        <v>19622</v>
      </c>
      <c r="J23" s="57">
        <v>9866</v>
      </c>
      <c r="K23" s="57">
        <v>22</v>
      </c>
      <c r="L23" s="57">
        <v>130</v>
      </c>
      <c r="M23" s="190">
        <f t="shared" si="0"/>
        <v>38</v>
      </c>
      <c r="N23" s="190">
        <f t="shared" si="1"/>
        <v>51</v>
      </c>
      <c r="O23" s="22"/>
      <c r="P23" s="22"/>
      <c r="Q23" s="22"/>
      <c r="R23" s="22"/>
      <c r="S23" s="22"/>
    </row>
    <row r="24" spans="1:19" ht="12.75">
      <c r="A24" s="54">
        <v>18</v>
      </c>
      <c r="B24" s="57" t="s">
        <v>19</v>
      </c>
      <c r="C24" s="190">
        <f>'TABLE-23'!M24</f>
        <v>596</v>
      </c>
      <c r="D24" s="190">
        <f>'TABLE-23'!N24</f>
        <v>92</v>
      </c>
      <c r="E24" s="57">
        <v>3</v>
      </c>
      <c r="F24" s="57">
        <v>1</v>
      </c>
      <c r="G24" s="57">
        <v>32</v>
      </c>
      <c r="H24" s="57">
        <v>25</v>
      </c>
      <c r="I24" s="57">
        <v>206</v>
      </c>
      <c r="J24" s="57">
        <v>16</v>
      </c>
      <c r="K24" s="57">
        <v>335</v>
      </c>
      <c r="L24" s="57">
        <v>45</v>
      </c>
      <c r="M24" s="190">
        <f t="shared" si="0"/>
        <v>20</v>
      </c>
      <c r="N24" s="190">
        <f t="shared" si="1"/>
        <v>5</v>
      </c>
      <c r="O24" s="22"/>
      <c r="P24" s="22"/>
      <c r="Q24" s="22"/>
      <c r="R24" s="22"/>
      <c r="S24" s="22"/>
    </row>
    <row r="25" spans="1:19" ht="12.75">
      <c r="A25" s="54">
        <v>19</v>
      </c>
      <c r="B25" s="57" t="s">
        <v>124</v>
      </c>
      <c r="C25" s="190">
        <f>'TABLE-23'!M25</f>
        <v>0</v>
      </c>
      <c r="D25" s="190">
        <f>'TABLE-23'!N25</f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190">
        <f t="shared" si="0"/>
        <v>0</v>
      </c>
      <c r="N25" s="190">
        <f t="shared" si="1"/>
        <v>0</v>
      </c>
      <c r="O25" s="22"/>
      <c r="P25" s="22"/>
      <c r="Q25" s="22"/>
      <c r="R25" s="22"/>
      <c r="S25" s="22"/>
    </row>
    <row r="26" spans="1:19" s="232" customFormat="1" ht="14.25">
      <c r="A26" s="203"/>
      <c r="B26" s="164" t="s">
        <v>224</v>
      </c>
      <c r="C26" s="197">
        <f>SUM(C7:C25)</f>
        <v>390172</v>
      </c>
      <c r="D26" s="197">
        <f>SUM(D7:D25)</f>
        <v>80707</v>
      </c>
      <c r="E26" s="164">
        <f aca="true" t="shared" si="2" ref="E26:N26">SUM(E7:E25)</f>
        <v>31714</v>
      </c>
      <c r="F26" s="164">
        <f t="shared" si="2"/>
        <v>15921</v>
      </c>
      <c r="G26" s="164">
        <f t="shared" si="2"/>
        <v>85040</v>
      </c>
      <c r="H26" s="164">
        <f t="shared" si="2"/>
        <v>21022</v>
      </c>
      <c r="I26" s="164">
        <f t="shared" si="2"/>
        <v>78606</v>
      </c>
      <c r="J26" s="164">
        <f t="shared" si="2"/>
        <v>21598</v>
      </c>
      <c r="K26" s="164">
        <f t="shared" si="2"/>
        <v>51966</v>
      </c>
      <c r="L26" s="164">
        <f t="shared" si="2"/>
        <v>9372</v>
      </c>
      <c r="M26" s="197">
        <f t="shared" si="2"/>
        <v>142846</v>
      </c>
      <c r="N26" s="197">
        <f t="shared" si="2"/>
        <v>12794</v>
      </c>
      <c r="O26" s="210"/>
      <c r="P26" s="210"/>
      <c r="Q26" s="210"/>
      <c r="R26" s="210"/>
      <c r="S26" s="210"/>
    </row>
    <row r="27" spans="1:19" ht="12.75">
      <c r="A27" s="54">
        <v>20</v>
      </c>
      <c r="B27" s="57" t="s">
        <v>23</v>
      </c>
      <c r="C27" s="190">
        <f>'TABLE-23'!M27</f>
        <v>139</v>
      </c>
      <c r="D27" s="190">
        <f>'TABLE-23'!N27</f>
        <v>49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190">
        <f t="shared" si="0"/>
        <v>139</v>
      </c>
      <c r="N27" s="190">
        <f t="shared" si="1"/>
        <v>49</v>
      </c>
      <c r="O27" s="22"/>
      <c r="P27" s="22"/>
      <c r="Q27" s="22"/>
      <c r="R27" s="22"/>
      <c r="S27" s="22"/>
    </row>
    <row r="28" spans="1:19" ht="12.75">
      <c r="A28" s="54">
        <v>21</v>
      </c>
      <c r="B28" s="57" t="s">
        <v>269</v>
      </c>
      <c r="C28" s="190">
        <f>'TABLE-23'!M28</f>
        <v>123</v>
      </c>
      <c r="D28" s="190">
        <f>'TABLE-23'!N28</f>
        <v>33</v>
      </c>
      <c r="E28" s="57">
        <v>4</v>
      </c>
      <c r="F28" s="57">
        <v>19</v>
      </c>
      <c r="G28" s="57">
        <v>0</v>
      </c>
      <c r="H28" s="57">
        <v>0</v>
      </c>
      <c r="I28" s="57">
        <v>46</v>
      </c>
      <c r="J28" s="57">
        <v>7</v>
      </c>
      <c r="K28" s="57">
        <v>0</v>
      </c>
      <c r="L28" s="57">
        <v>0</v>
      </c>
      <c r="M28" s="190">
        <f t="shared" si="0"/>
        <v>73</v>
      </c>
      <c r="N28" s="190">
        <f t="shared" si="1"/>
        <v>7</v>
      </c>
      <c r="O28" s="22"/>
      <c r="P28" s="22"/>
      <c r="Q28" s="22"/>
      <c r="R28" s="22"/>
      <c r="S28" s="22"/>
    </row>
    <row r="29" spans="1:19" ht="12.75">
      <c r="A29" s="54">
        <v>22</v>
      </c>
      <c r="B29" s="57" t="s">
        <v>169</v>
      </c>
      <c r="C29" s="190">
        <f>'TABLE-23'!M29</f>
        <v>505</v>
      </c>
      <c r="D29" s="190">
        <f>'TABLE-23'!N29</f>
        <v>214</v>
      </c>
      <c r="E29" s="57">
        <v>101</v>
      </c>
      <c r="F29" s="57">
        <v>19</v>
      </c>
      <c r="G29" s="57">
        <v>76</v>
      </c>
      <c r="H29" s="57">
        <v>41</v>
      </c>
      <c r="I29" s="57">
        <v>126</v>
      </c>
      <c r="J29" s="57">
        <v>75</v>
      </c>
      <c r="K29" s="57">
        <v>12</v>
      </c>
      <c r="L29" s="57">
        <v>21</v>
      </c>
      <c r="M29" s="190">
        <f t="shared" si="0"/>
        <v>190</v>
      </c>
      <c r="N29" s="190">
        <f t="shared" si="1"/>
        <v>58</v>
      </c>
      <c r="O29" s="22"/>
      <c r="P29" s="22"/>
      <c r="Q29" s="22"/>
      <c r="R29" s="22"/>
      <c r="S29" s="22"/>
    </row>
    <row r="30" spans="1:19" ht="12.75">
      <c r="A30" s="54">
        <v>23</v>
      </c>
      <c r="B30" s="57" t="s">
        <v>22</v>
      </c>
      <c r="C30" s="190">
        <f>'TABLE-23'!M30</f>
        <v>84</v>
      </c>
      <c r="D30" s="190">
        <f>'TABLE-23'!N30</f>
        <v>23</v>
      </c>
      <c r="E30" s="57">
        <v>11</v>
      </c>
      <c r="F30" s="57">
        <v>4</v>
      </c>
      <c r="G30" s="57">
        <v>50</v>
      </c>
      <c r="H30" s="57">
        <v>13</v>
      </c>
      <c r="I30" s="57">
        <v>10</v>
      </c>
      <c r="J30" s="57">
        <v>2</v>
      </c>
      <c r="K30" s="57">
        <v>9</v>
      </c>
      <c r="L30" s="57">
        <v>2</v>
      </c>
      <c r="M30" s="190">
        <f t="shared" si="0"/>
        <v>4</v>
      </c>
      <c r="N30" s="190">
        <f t="shared" si="1"/>
        <v>2</v>
      </c>
      <c r="O30" s="22"/>
      <c r="P30" s="22"/>
      <c r="Q30" s="22"/>
      <c r="R30" s="22"/>
      <c r="S30" s="22"/>
    </row>
    <row r="31" spans="1:19" ht="12.75">
      <c r="A31" s="54">
        <v>24</v>
      </c>
      <c r="B31" s="57" t="s">
        <v>141</v>
      </c>
      <c r="C31" s="190">
        <f>'TABLE-23'!M31</f>
        <v>478</v>
      </c>
      <c r="D31" s="190">
        <f>'TABLE-23'!N31</f>
        <v>70</v>
      </c>
      <c r="E31" s="57">
        <v>0</v>
      </c>
      <c r="F31" s="57">
        <v>0</v>
      </c>
      <c r="G31" s="57">
        <v>51</v>
      </c>
      <c r="H31" s="57">
        <v>36</v>
      </c>
      <c r="I31" s="57">
        <v>95</v>
      </c>
      <c r="J31" s="57">
        <v>23</v>
      </c>
      <c r="K31" s="57">
        <v>225</v>
      </c>
      <c r="L31" s="57">
        <v>9</v>
      </c>
      <c r="M31" s="190">
        <f t="shared" si="0"/>
        <v>107</v>
      </c>
      <c r="N31" s="190">
        <f t="shared" si="1"/>
        <v>2</v>
      </c>
      <c r="O31" s="22"/>
      <c r="P31" s="22"/>
      <c r="Q31" s="22"/>
      <c r="R31" s="22"/>
      <c r="S31" s="22"/>
    </row>
    <row r="32" spans="1:19" ht="12.75">
      <c r="A32" s="54">
        <v>25</v>
      </c>
      <c r="B32" s="57" t="s">
        <v>18</v>
      </c>
      <c r="C32" s="190">
        <f>'TABLE-23'!M32</f>
        <v>194516</v>
      </c>
      <c r="D32" s="190">
        <f>'TABLE-23'!N32</f>
        <v>50206</v>
      </c>
      <c r="E32" s="57">
        <v>49398</v>
      </c>
      <c r="F32" s="57">
        <v>14272</v>
      </c>
      <c r="G32" s="57">
        <v>44221</v>
      </c>
      <c r="H32" s="57">
        <v>11168</v>
      </c>
      <c r="I32" s="57">
        <v>39072</v>
      </c>
      <c r="J32" s="57">
        <v>10190</v>
      </c>
      <c r="K32" s="57">
        <v>1363</v>
      </c>
      <c r="L32" s="57">
        <v>1615</v>
      </c>
      <c r="M32" s="190">
        <f t="shared" si="0"/>
        <v>60462</v>
      </c>
      <c r="N32" s="190">
        <f t="shared" si="1"/>
        <v>12961</v>
      </c>
      <c r="O32" s="22"/>
      <c r="P32" s="22"/>
      <c r="Q32" s="22"/>
      <c r="R32" s="22"/>
      <c r="S32" s="22"/>
    </row>
    <row r="33" spans="1:19" ht="12.75">
      <c r="A33" s="54">
        <v>26</v>
      </c>
      <c r="B33" s="57" t="s">
        <v>104</v>
      </c>
      <c r="C33" s="190">
        <f>'TABLE-23'!M33</f>
        <v>84402</v>
      </c>
      <c r="D33" s="190">
        <f>'TABLE-23'!N33</f>
        <v>25700</v>
      </c>
      <c r="E33" s="57">
        <v>19636</v>
      </c>
      <c r="F33" s="57">
        <v>4892</v>
      </c>
      <c r="G33" s="57">
        <v>30633</v>
      </c>
      <c r="H33" s="57">
        <v>5296</v>
      </c>
      <c r="I33" s="57">
        <v>15656</v>
      </c>
      <c r="J33" s="57">
        <v>3612</v>
      </c>
      <c r="K33" s="57">
        <v>8222</v>
      </c>
      <c r="L33" s="57">
        <v>2701</v>
      </c>
      <c r="M33" s="190">
        <f t="shared" si="0"/>
        <v>10255</v>
      </c>
      <c r="N33" s="190">
        <f t="shared" si="1"/>
        <v>9199</v>
      </c>
      <c r="O33" s="22"/>
      <c r="P33" s="22"/>
      <c r="Q33" s="22"/>
      <c r="R33" s="22"/>
      <c r="S33" s="22"/>
    </row>
    <row r="34" spans="1:19" s="232" customFormat="1" ht="14.25">
      <c r="A34" s="203"/>
      <c r="B34" s="164" t="s">
        <v>226</v>
      </c>
      <c r="C34" s="197">
        <f>SUM(C27:C33)</f>
        <v>280247</v>
      </c>
      <c r="D34" s="197">
        <f aca="true" t="shared" si="3" ref="D34:K34">SUM(D27:D33)</f>
        <v>76295</v>
      </c>
      <c r="E34" s="197">
        <f t="shared" si="3"/>
        <v>69150</v>
      </c>
      <c r="F34" s="197">
        <f t="shared" si="3"/>
        <v>19206</v>
      </c>
      <c r="G34" s="197">
        <f t="shared" si="3"/>
        <v>75031</v>
      </c>
      <c r="H34" s="197">
        <f t="shared" si="3"/>
        <v>16554</v>
      </c>
      <c r="I34" s="197">
        <f t="shared" si="3"/>
        <v>55005</v>
      </c>
      <c r="J34" s="197">
        <f t="shared" si="3"/>
        <v>13909</v>
      </c>
      <c r="K34" s="197">
        <f t="shared" si="3"/>
        <v>9831</v>
      </c>
      <c r="L34" s="164">
        <f>SUM(L27:L33)</f>
        <v>4348</v>
      </c>
      <c r="M34" s="197">
        <f>SUM(M27:M33)</f>
        <v>71230</v>
      </c>
      <c r="N34" s="197">
        <f>SUM(N27:N33)</f>
        <v>22278</v>
      </c>
      <c r="O34" s="210"/>
      <c r="P34" s="210"/>
      <c r="Q34" s="210"/>
      <c r="R34" s="210"/>
      <c r="S34" s="210"/>
    </row>
    <row r="35" spans="1:19" ht="12.75">
      <c r="A35" s="54">
        <v>27</v>
      </c>
      <c r="B35" s="57" t="s">
        <v>163</v>
      </c>
      <c r="C35" s="190">
        <f>'TABLE-23'!M35</f>
        <v>1017</v>
      </c>
      <c r="D35" s="190">
        <f>'TABLE-23'!N35</f>
        <v>426</v>
      </c>
      <c r="E35" s="57">
        <v>67</v>
      </c>
      <c r="F35" s="57">
        <v>55</v>
      </c>
      <c r="G35" s="57">
        <v>0</v>
      </c>
      <c r="H35" s="57">
        <v>0</v>
      </c>
      <c r="I35" s="57">
        <v>0</v>
      </c>
      <c r="J35" s="57">
        <v>0</v>
      </c>
      <c r="K35" s="57">
        <v>835</v>
      </c>
      <c r="L35" s="57">
        <v>253</v>
      </c>
      <c r="M35" s="190">
        <f t="shared" si="0"/>
        <v>115</v>
      </c>
      <c r="N35" s="190">
        <f t="shared" si="1"/>
        <v>118</v>
      </c>
      <c r="O35" s="22"/>
      <c r="P35" s="22"/>
      <c r="Q35" s="22"/>
      <c r="R35" s="22"/>
      <c r="S35" s="22"/>
    </row>
    <row r="36" spans="1:19" ht="12.75">
      <c r="A36" s="54">
        <v>28</v>
      </c>
      <c r="B36" s="57" t="s">
        <v>231</v>
      </c>
      <c r="C36" s="190">
        <f>'TABLE-23'!M36</f>
        <v>0</v>
      </c>
      <c r="D36" s="190">
        <f>'TABLE-23'!N36</f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190">
        <f t="shared" si="0"/>
        <v>0</v>
      </c>
      <c r="N36" s="190">
        <f t="shared" si="1"/>
        <v>0</v>
      </c>
      <c r="O36" s="22"/>
      <c r="P36" s="22"/>
      <c r="Q36" s="22"/>
      <c r="R36" s="22"/>
      <c r="S36" s="22"/>
    </row>
    <row r="37" spans="1:19" ht="12.75">
      <c r="A37" s="54">
        <v>29</v>
      </c>
      <c r="B37" s="57" t="s">
        <v>218</v>
      </c>
      <c r="C37" s="190">
        <f>'TABLE-23'!M37</f>
        <v>0</v>
      </c>
      <c r="D37" s="190">
        <f>'TABLE-23'!N37</f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190">
        <f t="shared" si="0"/>
        <v>0</v>
      </c>
      <c r="N37" s="190">
        <f t="shared" si="1"/>
        <v>0</v>
      </c>
      <c r="O37" s="22"/>
      <c r="P37" s="22"/>
      <c r="Q37" s="22"/>
      <c r="R37" s="22"/>
      <c r="S37" s="22"/>
    </row>
    <row r="38" spans="1:19" ht="12.75">
      <c r="A38" s="54">
        <v>30</v>
      </c>
      <c r="B38" s="57" t="s">
        <v>236</v>
      </c>
      <c r="C38" s="190">
        <f>'TABLE-23'!M38</f>
        <v>714</v>
      </c>
      <c r="D38" s="190">
        <f>'TABLE-23'!N38</f>
        <v>758</v>
      </c>
      <c r="E38" s="57">
        <v>220</v>
      </c>
      <c r="F38" s="57">
        <v>189</v>
      </c>
      <c r="G38" s="57">
        <v>186</v>
      </c>
      <c r="H38" s="57">
        <v>206</v>
      </c>
      <c r="I38" s="57">
        <v>250</v>
      </c>
      <c r="J38" s="57">
        <v>170</v>
      </c>
      <c r="K38" s="57">
        <v>8</v>
      </c>
      <c r="L38" s="57">
        <v>3</v>
      </c>
      <c r="M38" s="190">
        <f t="shared" si="0"/>
        <v>50</v>
      </c>
      <c r="N38" s="190">
        <f t="shared" si="1"/>
        <v>190</v>
      </c>
      <c r="O38" s="22"/>
      <c r="P38" s="22"/>
      <c r="Q38" s="22"/>
      <c r="R38" s="22"/>
      <c r="S38" s="22"/>
    </row>
    <row r="39" spans="1:19" ht="12.75">
      <c r="A39" s="54">
        <v>31</v>
      </c>
      <c r="B39" s="57" t="s">
        <v>219</v>
      </c>
      <c r="C39" s="190">
        <f>'TABLE-23'!M39</f>
        <v>0</v>
      </c>
      <c r="D39" s="190">
        <f>'TABLE-23'!N39</f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190">
        <f t="shared" si="0"/>
        <v>0</v>
      </c>
      <c r="N39" s="190">
        <f t="shared" si="1"/>
        <v>0</v>
      </c>
      <c r="O39" s="22"/>
      <c r="P39" s="22"/>
      <c r="Q39" s="22"/>
      <c r="R39" s="22"/>
      <c r="S39" s="22"/>
    </row>
    <row r="40" spans="1:19" ht="12.75">
      <c r="A40" s="54">
        <v>32</v>
      </c>
      <c r="B40" s="57" t="s">
        <v>220</v>
      </c>
      <c r="C40" s="190">
        <f>'TABLE-23'!M40</f>
        <v>6</v>
      </c>
      <c r="D40" s="190">
        <f>'TABLE-23'!N40</f>
        <v>19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190">
        <f t="shared" si="0"/>
        <v>6</v>
      </c>
      <c r="N40" s="190">
        <f t="shared" si="1"/>
        <v>19</v>
      </c>
      <c r="O40" s="22"/>
      <c r="P40" s="22"/>
      <c r="Q40" s="22"/>
      <c r="R40" s="22"/>
      <c r="S40" s="22"/>
    </row>
    <row r="41" spans="1:19" ht="12.75">
      <c r="A41" s="110">
        <v>33</v>
      </c>
      <c r="B41" s="111" t="s">
        <v>363</v>
      </c>
      <c r="C41" s="190">
        <f>'TABLE-23'!M41</f>
        <v>0</v>
      </c>
      <c r="D41" s="190">
        <f>'TABLE-23'!N41</f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190">
        <f t="shared" si="0"/>
        <v>0</v>
      </c>
      <c r="N41" s="190">
        <f t="shared" si="1"/>
        <v>0</v>
      </c>
      <c r="O41" s="22"/>
      <c r="P41" s="22"/>
      <c r="Q41" s="22"/>
      <c r="R41" s="22"/>
      <c r="S41" s="22"/>
    </row>
    <row r="42" spans="1:19" ht="12.75">
      <c r="A42" s="54">
        <v>34</v>
      </c>
      <c r="B42" s="57" t="s">
        <v>242</v>
      </c>
      <c r="C42" s="190">
        <f>'TABLE-23'!M42</f>
        <v>5</v>
      </c>
      <c r="D42" s="190">
        <f>'TABLE-23'!N42</f>
        <v>4</v>
      </c>
      <c r="E42" s="57">
        <v>0</v>
      </c>
      <c r="F42" s="57">
        <v>0</v>
      </c>
      <c r="G42" s="57">
        <v>0</v>
      </c>
      <c r="H42" s="57">
        <v>0</v>
      </c>
      <c r="I42" s="57">
        <v>5</v>
      </c>
      <c r="J42" s="57">
        <v>4</v>
      </c>
      <c r="K42" s="57">
        <v>0</v>
      </c>
      <c r="L42" s="57">
        <v>0</v>
      </c>
      <c r="M42" s="190">
        <f t="shared" si="0"/>
        <v>0</v>
      </c>
      <c r="N42" s="190">
        <f t="shared" si="1"/>
        <v>0</v>
      </c>
      <c r="O42" s="22"/>
      <c r="P42" s="22"/>
      <c r="Q42" s="22"/>
      <c r="R42" s="22"/>
      <c r="S42" s="22"/>
    </row>
    <row r="43" spans="1:19" ht="12.75">
      <c r="A43" s="54">
        <v>35</v>
      </c>
      <c r="B43" s="57" t="s">
        <v>256</v>
      </c>
      <c r="C43" s="190">
        <f>'TABLE-23'!M43</f>
        <v>31</v>
      </c>
      <c r="D43" s="190">
        <f>'TABLE-23'!N43</f>
        <v>16</v>
      </c>
      <c r="E43" s="57">
        <v>0</v>
      </c>
      <c r="F43" s="57">
        <v>0</v>
      </c>
      <c r="G43" s="57">
        <v>0</v>
      </c>
      <c r="H43" s="57">
        <v>0</v>
      </c>
      <c r="I43" s="57">
        <v>22</v>
      </c>
      <c r="J43" s="57">
        <v>9</v>
      </c>
      <c r="K43" s="57">
        <v>8</v>
      </c>
      <c r="L43" s="57">
        <v>6</v>
      </c>
      <c r="M43" s="190">
        <f t="shared" si="0"/>
        <v>1</v>
      </c>
      <c r="N43" s="190">
        <f t="shared" si="1"/>
        <v>1</v>
      </c>
      <c r="O43" s="22"/>
      <c r="P43" s="22"/>
      <c r="Q43" s="22"/>
      <c r="R43" s="22"/>
      <c r="S43" s="22"/>
    </row>
    <row r="44" spans="1:19" ht="12.75">
      <c r="A44" s="54">
        <v>36</v>
      </c>
      <c r="B44" s="57" t="s">
        <v>24</v>
      </c>
      <c r="C44" s="190">
        <f>'TABLE-23'!M44</f>
        <v>109</v>
      </c>
      <c r="D44" s="190">
        <f>'TABLE-23'!N44</f>
        <v>123</v>
      </c>
      <c r="E44" s="57">
        <v>0</v>
      </c>
      <c r="F44" s="57">
        <v>0</v>
      </c>
      <c r="G44" s="57">
        <v>9</v>
      </c>
      <c r="H44" s="57">
        <v>19</v>
      </c>
      <c r="I44" s="57">
        <v>67</v>
      </c>
      <c r="J44" s="57">
        <v>62</v>
      </c>
      <c r="K44" s="57">
        <v>32</v>
      </c>
      <c r="L44" s="57">
        <v>41</v>
      </c>
      <c r="M44" s="190">
        <f t="shared" si="0"/>
        <v>1</v>
      </c>
      <c r="N44" s="190">
        <f t="shared" si="1"/>
        <v>1</v>
      </c>
      <c r="O44" s="22"/>
      <c r="P44" s="22"/>
      <c r="Q44" s="22"/>
      <c r="R44" s="22"/>
      <c r="S44" s="22"/>
    </row>
    <row r="45" spans="1:19" ht="12.75">
      <c r="A45" s="54">
        <v>37</v>
      </c>
      <c r="B45" s="57" t="s">
        <v>223</v>
      </c>
      <c r="C45" s="190">
        <f>'TABLE-23'!M45</f>
        <v>0</v>
      </c>
      <c r="D45" s="190">
        <f>'TABLE-23'!N45</f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0">
        <f t="shared" si="0"/>
        <v>0</v>
      </c>
      <c r="N45" s="190">
        <f t="shared" si="1"/>
        <v>0</v>
      </c>
      <c r="O45" s="22"/>
      <c r="P45" s="22"/>
      <c r="Q45" s="22"/>
      <c r="R45" s="22"/>
      <c r="S45" s="22"/>
    </row>
    <row r="46" spans="1:19" ht="12.75">
      <c r="A46" s="54">
        <v>38</v>
      </c>
      <c r="B46" s="57" t="s">
        <v>364</v>
      </c>
      <c r="C46" s="190">
        <f>'TABLE-23'!M46</f>
        <v>0</v>
      </c>
      <c r="D46" s="190">
        <f>'TABLE-23'!N46</f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190">
        <f>C46-E46-G46-I46-K46</f>
        <v>0</v>
      </c>
      <c r="N46" s="190">
        <f>D46-F46-H46-J46-L46</f>
        <v>0</v>
      </c>
      <c r="O46" s="22"/>
      <c r="P46" s="22"/>
      <c r="Q46" s="22"/>
      <c r="R46" s="22"/>
      <c r="S46" s="22"/>
    </row>
    <row r="47" spans="1:19" ht="12.75">
      <c r="A47" s="54">
        <v>39</v>
      </c>
      <c r="B47" s="57" t="s">
        <v>366</v>
      </c>
      <c r="C47" s="190">
        <f>'TABLE-23'!M47</f>
        <v>262</v>
      </c>
      <c r="D47" s="190">
        <f>'TABLE-23'!N47</f>
        <v>600</v>
      </c>
      <c r="E47" s="57">
        <v>210</v>
      </c>
      <c r="F47" s="57">
        <v>344</v>
      </c>
      <c r="G47" s="57">
        <v>27</v>
      </c>
      <c r="H47" s="57">
        <v>30</v>
      </c>
      <c r="I47" s="57">
        <v>0</v>
      </c>
      <c r="J47" s="57">
        <v>0</v>
      </c>
      <c r="K47" s="57">
        <v>0</v>
      </c>
      <c r="L47" s="57">
        <v>0</v>
      </c>
      <c r="M47" s="190">
        <f t="shared" si="0"/>
        <v>25</v>
      </c>
      <c r="N47" s="190">
        <f t="shared" si="1"/>
        <v>226</v>
      </c>
      <c r="O47" s="22"/>
      <c r="P47" s="22"/>
      <c r="Q47" s="22"/>
      <c r="R47" s="22"/>
      <c r="S47" s="22"/>
    </row>
    <row r="48" spans="1:19" s="232" customFormat="1" ht="14.25">
      <c r="A48" s="203"/>
      <c r="B48" s="164" t="s">
        <v>225</v>
      </c>
      <c r="C48" s="197">
        <f aca="true" t="shared" si="4" ref="C48:N48">SUM(C35:C47)</f>
        <v>2144</v>
      </c>
      <c r="D48" s="197">
        <f t="shared" si="4"/>
        <v>1946</v>
      </c>
      <c r="E48" s="164">
        <f t="shared" si="4"/>
        <v>497</v>
      </c>
      <c r="F48" s="164">
        <f t="shared" si="4"/>
        <v>588</v>
      </c>
      <c r="G48" s="164">
        <f t="shared" si="4"/>
        <v>222</v>
      </c>
      <c r="H48" s="164">
        <f t="shared" si="4"/>
        <v>255</v>
      </c>
      <c r="I48" s="164">
        <f t="shared" si="4"/>
        <v>344</v>
      </c>
      <c r="J48" s="164">
        <f t="shared" si="4"/>
        <v>245</v>
      </c>
      <c r="K48" s="164">
        <f t="shared" si="4"/>
        <v>883</v>
      </c>
      <c r="L48" s="164">
        <f t="shared" si="4"/>
        <v>303</v>
      </c>
      <c r="M48" s="197">
        <f t="shared" si="4"/>
        <v>198</v>
      </c>
      <c r="N48" s="197">
        <f t="shared" si="4"/>
        <v>555</v>
      </c>
      <c r="O48" s="210"/>
      <c r="P48" s="210"/>
      <c r="Q48" s="210"/>
      <c r="R48" s="210"/>
      <c r="S48" s="210"/>
    </row>
    <row r="49" spans="1:19" s="232" customFormat="1" ht="14.25">
      <c r="A49" s="203"/>
      <c r="B49" s="204" t="s">
        <v>123</v>
      </c>
      <c r="C49" s="197">
        <f aca="true" t="shared" si="5" ref="C49:N49">C26+C34+C48</f>
        <v>672563</v>
      </c>
      <c r="D49" s="197">
        <f t="shared" si="5"/>
        <v>158948</v>
      </c>
      <c r="E49" s="164">
        <f t="shared" si="5"/>
        <v>101361</v>
      </c>
      <c r="F49" s="164">
        <f t="shared" si="5"/>
        <v>35715</v>
      </c>
      <c r="G49" s="164">
        <f t="shared" si="5"/>
        <v>160293</v>
      </c>
      <c r="H49" s="164">
        <f t="shared" si="5"/>
        <v>37831</v>
      </c>
      <c r="I49" s="164">
        <f t="shared" si="5"/>
        <v>133955</v>
      </c>
      <c r="J49" s="164">
        <f t="shared" si="5"/>
        <v>35752</v>
      </c>
      <c r="K49" s="164">
        <f t="shared" si="5"/>
        <v>62680</v>
      </c>
      <c r="L49" s="164">
        <f t="shared" si="5"/>
        <v>14023</v>
      </c>
      <c r="M49" s="197">
        <f t="shared" si="5"/>
        <v>214274</v>
      </c>
      <c r="N49" s="197">
        <f t="shared" si="5"/>
        <v>35627</v>
      </c>
      <c r="P49" s="209"/>
      <c r="Q49" s="210"/>
      <c r="R49" s="210"/>
      <c r="S49" s="210"/>
    </row>
    <row r="50" spans="1:14" ht="18" customHeight="1">
      <c r="A50" s="201"/>
      <c r="B50" s="201"/>
      <c r="C50" s="251"/>
      <c r="D50" s="251"/>
      <c r="E50" s="67"/>
      <c r="F50" s="67"/>
      <c r="G50" s="67"/>
      <c r="H50" s="67"/>
      <c r="I50" s="67"/>
      <c r="J50" s="67"/>
      <c r="K50" s="67"/>
      <c r="L50" s="67"/>
      <c r="M50" s="250"/>
      <c r="N50" s="250"/>
    </row>
    <row r="51" spans="1:14" ht="18" customHeight="1">
      <c r="A51" s="102"/>
      <c r="B51" s="102"/>
      <c r="C51" s="251"/>
      <c r="D51" s="191"/>
      <c r="E51" s="67"/>
      <c r="F51" s="67"/>
      <c r="G51" s="67"/>
      <c r="H51" s="67"/>
      <c r="I51" s="68"/>
      <c r="J51" s="67"/>
      <c r="K51" s="67"/>
      <c r="L51" s="67"/>
      <c r="M51" s="191"/>
      <c r="N51" s="191"/>
    </row>
    <row r="52" spans="1:14" ht="15" customHeight="1">
      <c r="A52" s="102"/>
      <c r="B52" s="102"/>
      <c r="C52" s="251"/>
      <c r="D52" s="191"/>
      <c r="E52" s="67"/>
      <c r="F52" s="67"/>
      <c r="G52" s="68"/>
      <c r="H52" s="68"/>
      <c r="I52" s="68"/>
      <c r="J52" s="67"/>
      <c r="K52" s="67"/>
      <c r="L52" s="67"/>
      <c r="M52" s="250"/>
      <c r="N52" s="250"/>
    </row>
    <row r="53" spans="1:14" ht="12.75" customHeight="1">
      <c r="A53" s="202" t="s">
        <v>4</v>
      </c>
      <c r="B53" s="202" t="s">
        <v>5</v>
      </c>
      <c r="C53" s="694" t="s">
        <v>189</v>
      </c>
      <c r="D53" s="695"/>
      <c r="E53" s="659" t="s">
        <v>188</v>
      </c>
      <c r="F53" s="670"/>
      <c r="G53" s="670"/>
      <c r="H53" s="670"/>
      <c r="I53" s="670"/>
      <c r="J53" s="670"/>
      <c r="K53" s="670"/>
      <c r="L53" s="670"/>
      <c r="M53" s="670"/>
      <c r="N53" s="660"/>
    </row>
    <row r="54" spans="1:14" ht="12.75">
      <c r="A54" s="462" t="s">
        <v>6</v>
      </c>
      <c r="B54" s="462"/>
      <c r="C54" s="698"/>
      <c r="D54" s="699"/>
      <c r="E54" s="131" t="s">
        <v>126</v>
      </c>
      <c r="F54" s="132"/>
      <c r="G54" s="131" t="s">
        <v>128</v>
      </c>
      <c r="H54" s="132"/>
      <c r="I54" s="131" t="s">
        <v>127</v>
      </c>
      <c r="J54" s="132"/>
      <c r="K54" s="131" t="s">
        <v>181</v>
      </c>
      <c r="L54" s="132"/>
      <c r="M54" s="253" t="s">
        <v>182</v>
      </c>
      <c r="N54" s="254"/>
    </row>
    <row r="55" spans="1:14" ht="12.75">
      <c r="A55" s="186"/>
      <c r="B55" s="186"/>
      <c r="C55" s="252" t="s">
        <v>57</v>
      </c>
      <c r="D55" s="252" t="s">
        <v>63</v>
      </c>
      <c r="E55" s="130" t="s">
        <v>57</v>
      </c>
      <c r="F55" s="130" t="s">
        <v>63</v>
      </c>
      <c r="G55" s="130" t="s">
        <v>57</v>
      </c>
      <c r="H55" s="130" t="s">
        <v>63</v>
      </c>
      <c r="I55" s="130" t="s">
        <v>57</v>
      </c>
      <c r="J55" s="130" t="s">
        <v>63</v>
      </c>
      <c r="K55" s="130" t="s">
        <v>57</v>
      </c>
      <c r="L55" s="130" t="s">
        <v>63</v>
      </c>
      <c r="M55" s="252" t="s">
        <v>57</v>
      </c>
      <c r="N55" s="252" t="s">
        <v>63</v>
      </c>
    </row>
    <row r="56" spans="1:19" ht="15" customHeight="1">
      <c r="A56" s="54">
        <v>40</v>
      </c>
      <c r="B56" s="57" t="s">
        <v>78</v>
      </c>
      <c r="C56" s="190">
        <f>'TABLE-23'!M56</f>
        <v>21168</v>
      </c>
      <c r="D56" s="190">
        <f>'TABLE-23'!N56</f>
        <v>1028</v>
      </c>
      <c r="E56" s="57">
        <v>769</v>
      </c>
      <c r="F56" s="57">
        <v>193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190">
        <f aca="true" t="shared" si="6" ref="M56:N63">C56-E56-G56-I56-K56</f>
        <v>20399</v>
      </c>
      <c r="N56" s="190">
        <f t="shared" si="6"/>
        <v>835</v>
      </c>
      <c r="O56" s="22"/>
      <c r="Q56" s="22"/>
      <c r="R56" s="22"/>
      <c r="S56" s="22"/>
    </row>
    <row r="57" spans="1:19" ht="15" customHeight="1">
      <c r="A57" s="54">
        <v>41</v>
      </c>
      <c r="B57" s="57" t="s">
        <v>278</v>
      </c>
      <c r="C57" s="190">
        <f>'TABLE-23'!M57</f>
        <v>67167</v>
      </c>
      <c r="D57" s="190">
        <f>'TABLE-23'!N57</f>
        <v>3571</v>
      </c>
      <c r="E57" s="57">
        <v>3522</v>
      </c>
      <c r="F57" s="57">
        <v>1116</v>
      </c>
      <c r="G57" s="57">
        <v>13153</v>
      </c>
      <c r="H57" s="57">
        <v>573</v>
      </c>
      <c r="I57" s="57">
        <v>7465</v>
      </c>
      <c r="J57" s="57">
        <v>540</v>
      </c>
      <c r="K57" s="57">
        <v>21706</v>
      </c>
      <c r="L57" s="57">
        <v>892</v>
      </c>
      <c r="M57" s="190">
        <f t="shared" si="6"/>
        <v>21321</v>
      </c>
      <c r="N57" s="190">
        <f t="shared" si="6"/>
        <v>450</v>
      </c>
      <c r="O57" s="22"/>
      <c r="Q57" s="22"/>
      <c r="R57" s="22"/>
      <c r="S57" s="22"/>
    </row>
    <row r="58" spans="1:19" ht="15" customHeight="1">
      <c r="A58" s="54">
        <v>42</v>
      </c>
      <c r="B58" s="57" t="s">
        <v>30</v>
      </c>
      <c r="C58" s="190">
        <f>'TABLE-23'!M58</f>
        <v>5731</v>
      </c>
      <c r="D58" s="190">
        <f>'TABLE-23'!N58</f>
        <v>540</v>
      </c>
      <c r="E58" s="57">
        <v>0</v>
      </c>
      <c r="F58" s="57">
        <v>0</v>
      </c>
      <c r="G58" s="57">
        <v>8</v>
      </c>
      <c r="H58" s="57">
        <v>42</v>
      </c>
      <c r="I58" s="57">
        <v>17</v>
      </c>
      <c r="J58" s="57">
        <v>12</v>
      </c>
      <c r="K58" s="57">
        <v>5666</v>
      </c>
      <c r="L58" s="57">
        <v>472</v>
      </c>
      <c r="M58" s="190">
        <f t="shared" si="6"/>
        <v>40</v>
      </c>
      <c r="N58" s="190">
        <f t="shared" si="6"/>
        <v>14</v>
      </c>
      <c r="O58" s="22"/>
      <c r="Q58" s="22"/>
      <c r="R58" s="22"/>
      <c r="S58" s="22"/>
    </row>
    <row r="59" spans="1:19" ht="15" customHeight="1">
      <c r="A59" s="54">
        <v>43</v>
      </c>
      <c r="B59" s="57" t="s">
        <v>234</v>
      </c>
      <c r="C59" s="190">
        <f>'TABLE-23'!M59</f>
        <v>21652</v>
      </c>
      <c r="D59" s="190">
        <f>'TABLE-23'!N59</f>
        <v>2315</v>
      </c>
      <c r="E59" s="57">
        <v>1116</v>
      </c>
      <c r="F59" s="57">
        <v>255</v>
      </c>
      <c r="G59" s="57">
        <v>3653</v>
      </c>
      <c r="H59" s="57">
        <v>427</v>
      </c>
      <c r="I59" s="57">
        <v>6431</v>
      </c>
      <c r="J59" s="57">
        <v>528</v>
      </c>
      <c r="K59" s="57">
        <v>6138</v>
      </c>
      <c r="L59" s="57">
        <v>571</v>
      </c>
      <c r="M59" s="190">
        <f t="shared" si="6"/>
        <v>4314</v>
      </c>
      <c r="N59" s="190">
        <f t="shared" si="6"/>
        <v>534</v>
      </c>
      <c r="O59" s="22"/>
      <c r="Q59" s="22"/>
      <c r="R59" s="22"/>
      <c r="S59" s="22"/>
    </row>
    <row r="60" spans="1:19" ht="15" customHeight="1">
      <c r="A60" s="54">
        <v>44</v>
      </c>
      <c r="B60" s="57" t="s">
        <v>29</v>
      </c>
      <c r="C60" s="190">
        <f>'TABLE-23'!M60</f>
        <v>26962</v>
      </c>
      <c r="D60" s="190">
        <f>'TABLE-23'!N60</f>
        <v>2693</v>
      </c>
      <c r="E60" s="57">
        <v>146</v>
      </c>
      <c r="F60" s="57">
        <v>56</v>
      </c>
      <c r="G60" s="57">
        <v>2529</v>
      </c>
      <c r="H60" s="57">
        <v>423</v>
      </c>
      <c r="I60" s="57">
        <v>7643</v>
      </c>
      <c r="J60" s="57">
        <v>590</v>
      </c>
      <c r="K60" s="57">
        <v>16122</v>
      </c>
      <c r="L60" s="57">
        <v>1322</v>
      </c>
      <c r="M60" s="190">
        <f t="shared" si="6"/>
        <v>522</v>
      </c>
      <c r="N60" s="190">
        <f t="shared" si="6"/>
        <v>302</v>
      </c>
      <c r="O60" s="22"/>
      <c r="Q60" s="22"/>
      <c r="R60" s="22"/>
      <c r="S60" s="22"/>
    </row>
    <row r="61" spans="1:19" ht="15" customHeight="1">
      <c r="A61" s="54">
        <v>45</v>
      </c>
      <c r="B61" s="57" t="s">
        <v>391</v>
      </c>
      <c r="C61" s="190">
        <f>'TABLE-23'!M61</f>
        <v>42238</v>
      </c>
      <c r="D61" s="190">
        <f>'TABLE-23'!N61</f>
        <v>7312</v>
      </c>
      <c r="E61" s="57">
        <v>2743</v>
      </c>
      <c r="F61" s="57">
        <v>1292</v>
      </c>
      <c r="G61" s="57">
        <v>7963</v>
      </c>
      <c r="H61" s="57">
        <v>1964</v>
      </c>
      <c r="I61" s="57">
        <v>20458</v>
      </c>
      <c r="J61" s="57">
        <v>3345</v>
      </c>
      <c r="K61" s="57">
        <v>6507</v>
      </c>
      <c r="L61" s="57">
        <v>465</v>
      </c>
      <c r="M61" s="190">
        <f t="shared" si="6"/>
        <v>4567</v>
      </c>
      <c r="N61" s="190">
        <f t="shared" si="6"/>
        <v>246</v>
      </c>
      <c r="O61" s="22"/>
      <c r="Q61" s="22"/>
      <c r="R61" s="22"/>
      <c r="S61" s="22"/>
    </row>
    <row r="62" spans="1:19" ht="15" customHeight="1">
      <c r="A62" s="54">
        <v>46</v>
      </c>
      <c r="B62" s="57" t="s">
        <v>25</v>
      </c>
      <c r="C62" s="190">
        <f>'TABLE-23'!M62</f>
        <v>11511</v>
      </c>
      <c r="D62" s="190">
        <f>'TABLE-23'!N62</f>
        <v>823</v>
      </c>
      <c r="E62" s="57">
        <v>144</v>
      </c>
      <c r="F62" s="57">
        <v>122</v>
      </c>
      <c r="G62" s="57">
        <v>826</v>
      </c>
      <c r="H62" s="57">
        <v>51</v>
      </c>
      <c r="I62" s="57">
        <v>4267</v>
      </c>
      <c r="J62" s="57">
        <v>244</v>
      </c>
      <c r="K62" s="57">
        <v>6183</v>
      </c>
      <c r="L62" s="57">
        <v>400</v>
      </c>
      <c r="M62" s="190">
        <f t="shared" si="6"/>
        <v>91</v>
      </c>
      <c r="N62" s="190">
        <f t="shared" si="6"/>
        <v>6</v>
      </c>
      <c r="O62" s="22" t="s">
        <v>36</v>
      </c>
      <c r="Q62" s="22"/>
      <c r="R62" s="22"/>
      <c r="S62" s="22"/>
    </row>
    <row r="63" spans="1:19" ht="15" customHeight="1">
      <c r="A63" s="54">
        <v>47</v>
      </c>
      <c r="B63" s="57" t="s">
        <v>28</v>
      </c>
      <c r="C63" s="190">
        <f>'TABLE-23'!M63</f>
        <v>5787</v>
      </c>
      <c r="D63" s="190">
        <f>'TABLE-23'!N63</f>
        <v>523</v>
      </c>
      <c r="E63" s="57">
        <v>25</v>
      </c>
      <c r="F63" s="57">
        <v>70</v>
      </c>
      <c r="G63" s="57">
        <v>482</v>
      </c>
      <c r="H63" s="57">
        <v>38</v>
      </c>
      <c r="I63" s="57">
        <v>0</v>
      </c>
      <c r="J63" s="57">
        <v>0</v>
      </c>
      <c r="K63" s="57">
        <v>5280</v>
      </c>
      <c r="L63" s="57">
        <v>414</v>
      </c>
      <c r="M63" s="190">
        <f t="shared" si="6"/>
        <v>0</v>
      </c>
      <c r="N63" s="190">
        <f t="shared" si="6"/>
        <v>1</v>
      </c>
      <c r="O63" s="22"/>
      <c r="Q63" s="22"/>
      <c r="R63" s="22"/>
      <c r="S63" s="22"/>
    </row>
    <row r="64" spans="1:19" s="232" customFormat="1" ht="15" customHeight="1">
      <c r="A64" s="54"/>
      <c r="B64" s="204" t="s">
        <v>123</v>
      </c>
      <c r="C64" s="197">
        <f>'TABLE-23'!M64</f>
        <v>202216</v>
      </c>
      <c r="D64" s="197">
        <f>'TABLE-23'!N64</f>
        <v>18805</v>
      </c>
      <c r="E64" s="164">
        <f aca="true" t="shared" si="7" ref="E64:N64">SUM(E56:E63)</f>
        <v>8465</v>
      </c>
      <c r="F64" s="164">
        <f t="shared" si="7"/>
        <v>3104</v>
      </c>
      <c r="G64" s="164">
        <f t="shared" si="7"/>
        <v>28614</v>
      </c>
      <c r="H64" s="164">
        <f t="shared" si="7"/>
        <v>3518</v>
      </c>
      <c r="I64" s="164">
        <f t="shared" si="7"/>
        <v>46281</v>
      </c>
      <c r="J64" s="164">
        <f t="shared" si="7"/>
        <v>5259</v>
      </c>
      <c r="K64" s="164">
        <f t="shared" si="7"/>
        <v>67602</v>
      </c>
      <c r="L64" s="164">
        <f t="shared" si="7"/>
        <v>4536</v>
      </c>
      <c r="M64" s="197">
        <f t="shared" si="7"/>
        <v>51254</v>
      </c>
      <c r="N64" s="197">
        <f t="shared" si="7"/>
        <v>2388</v>
      </c>
      <c r="O64" s="210"/>
      <c r="P64" s="209"/>
      <c r="Q64" s="210"/>
      <c r="R64" s="210"/>
      <c r="S64" s="210"/>
    </row>
    <row r="65" spans="1:19" ht="15" customHeight="1">
      <c r="A65" s="54"/>
      <c r="C65" s="190"/>
      <c r="D65" s="190"/>
      <c r="E65" s="57"/>
      <c r="F65" s="57"/>
      <c r="G65" s="57"/>
      <c r="H65" s="57"/>
      <c r="I65" s="57"/>
      <c r="J65" s="57"/>
      <c r="K65" s="57"/>
      <c r="L65" s="57"/>
      <c r="M65" s="190"/>
      <c r="N65" s="190"/>
      <c r="O65" s="22"/>
      <c r="Q65" s="22"/>
      <c r="R65" s="22"/>
      <c r="S65" s="22"/>
    </row>
    <row r="66" spans="1:19" ht="15" customHeight="1">
      <c r="A66" s="54">
        <v>48</v>
      </c>
      <c r="B66" s="57" t="s">
        <v>34</v>
      </c>
      <c r="C66" s="190">
        <f>'TABLE-23'!M66</f>
        <v>0</v>
      </c>
      <c r="D66" s="190">
        <f>'TABLE-23'!N66</f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90">
        <f>C66-E66-G66-I66-K66</f>
        <v>0</v>
      </c>
      <c r="N66" s="190">
        <f>D66-F66-H66-J66-L66</f>
        <v>0</v>
      </c>
      <c r="O66" s="22"/>
      <c r="Q66" s="22"/>
      <c r="R66" s="22"/>
      <c r="S66" s="22"/>
    </row>
    <row r="67" spans="1:19" ht="15" customHeight="1">
      <c r="A67" s="54">
        <v>49</v>
      </c>
      <c r="B67" s="57" t="s">
        <v>130</v>
      </c>
      <c r="C67" s="190">
        <f>'TABLE-23'!M67</f>
        <v>0</v>
      </c>
      <c r="D67" s="190">
        <f>'TABLE-23'!N67</f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90">
        <f>E67-G67-I67-K67</f>
        <v>0</v>
      </c>
      <c r="N67" s="190">
        <f>F67-H67-J67-L67</f>
        <v>0</v>
      </c>
      <c r="O67" s="22"/>
      <c r="Q67" s="22"/>
      <c r="R67" s="22"/>
      <c r="S67" s="22"/>
    </row>
    <row r="68" spans="1:19" s="232" customFormat="1" ht="15" customHeight="1">
      <c r="A68" s="203"/>
      <c r="B68" s="204" t="s">
        <v>123</v>
      </c>
      <c r="C68" s="197">
        <f>SUM(C66:C67)</f>
        <v>0</v>
      </c>
      <c r="D68" s="197">
        <f>SUM(D66:D67)</f>
        <v>0</v>
      </c>
      <c r="E68" s="164">
        <f aca="true" t="shared" si="8" ref="E68:J68">SUM(E66:E67)</f>
        <v>0</v>
      </c>
      <c r="F68" s="164">
        <f t="shared" si="8"/>
        <v>0</v>
      </c>
      <c r="G68" s="164">
        <f t="shared" si="8"/>
        <v>0</v>
      </c>
      <c r="H68" s="164">
        <f t="shared" si="8"/>
        <v>0</v>
      </c>
      <c r="I68" s="164">
        <f t="shared" si="8"/>
        <v>0</v>
      </c>
      <c r="J68" s="164">
        <f t="shared" si="8"/>
        <v>0</v>
      </c>
      <c r="K68" s="164">
        <f>SUM(K66:K67)</f>
        <v>0</v>
      </c>
      <c r="L68" s="164">
        <f>SUM(L66:L67)</f>
        <v>0</v>
      </c>
      <c r="M68" s="197">
        <f>SUM(M66:M67)</f>
        <v>0</v>
      </c>
      <c r="N68" s="197">
        <f>SUM(N66:N67)</f>
        <v>0</v>
      </c>
      <c r="P68" s="209"/>
      <c r="Q68" s="210"/>
      <c r="R68" s="210"/>
      <c r="S68" s="210"/>
    </row>
    <row r="69" spans="1:19" s="232" customFormat="1" ht="15" customHeight="1">
      <c r="A69" s="203"/>
      <c r="B69" s="204" t="s">
        <v>35</v>
      </c>
      <c r="C69" s="197">
        <f aca="true" t="shared" si="9" ref="C69:N69">C49+C64+C68</f>
        <v>874779</v>
      </c>
      <c r="D69" s="197">
        <f t="shared" si="9"/>
        <v>177753</v>
      </c>
      <c r="E69" s="164">
        <f t="shared" si="9"/>
        <v>109826</v>
      </c>
      <c r="F69" s="164">
        <f t="shared" si="9"/>
        <v>38819</v>
      </c>
      <c r="G69" s="164">
        <f t="shared" si="9"/>
        <v>188907</v>
      </c>
      <c r="H69" s="164">
        <f t="shared" si="9"/>
        <v>41349</v>
      </c>
      <c r="I69" s="164">
        <f t="shared" si="9"/>
        <v>180236</v>
      </c>
      <c r="J69" s="164">
        <f t="shared" si="9"/>
        <v>41011</v>
      </c>
      <c r="K69" s="164">
        <f t="shared" si="9"/>
        <v>130282</v>
      </c>
      <c r="L69" s="164">
        <f t="shared" si="9"/>
        <v>18559</v>
      </c>
      <c r="M69" s="197">
        <f t="shared" si="9"/>
        <v>265528</v>
      </c>
      <c r="N69" s="197">
        <f t="shared" si="9"/>
        <v>38015</v>
      </c>
      <c r="P69" s="209"/>
      <c r="Q69" s="210"/>
      <c r="R69" s="210"/>
      <c r="S69" s="210"/>
    </row>
    <row r="76" ht="12.75">
      <c r="J76" s="22" t="s">
        <v>36</v>
      </c>
    </row>
    <row r="77" spans="4:5" ht="12.75">
      <c r="D77" s="99">
        <v>7</v>
      </c>
      <c r="E77" s="22" t="s">
        <v>405</v>
      </c>
    </row>
    <row r="78" ht="12.75">
      <c r="D78" s="99">
        <v>7</v>
      </c>
    </row>
  </sheetData>
  <sheetProtection/>
  <mergeCells count="4">
    <mergeCell ref="E4:N4"/>
    <mergeCell ref="E53:N53"/>
    <mergeCell ref="C4:D5"/>
    <mergeCell ref="C53:D54"/>
  </mergeCells>
  <printOptions gridLines="1" horizontalCentered="1"/>
  <pageMargins left="0.75" right="0.75" top="0.63" bottom="1" header="0.5" footer="0.5"/>
  <pageSetup blackAndWhite="1" horizontalDpi="300" verticalDpi="300" orientation="landscape" paperSize="9" scale="72" r:id="rId2"/>
  <rowBreaks count="1" manualBreakCount="1">
    <brk id="4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76"/>
  <sheetViews>
    <sheetView zoomScale="110" zoomScaleNormal="110" zoomScalePageLayoutView="0" workbookViewId="0" topLeftCell="H1">
      <selection activeCell="A24" sqref="A2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9.7109375" style="6" customWidth="1"/>
    <col min="4" max="4" width="10.00390625" style="6" customWidth="1"/>
    <col min="5" max="5" width="10.28125" style="6" customWidth="1"/>
    <col min="6" max="6" width="11.421875" style="6" customWidth="1"/>
    <col min="7" max="8" width="10.28125" style="6" customWidth="1"/>
    <col min="9" max="9" width="9.57421875" style="6" customWidth="1"/>
    <col min="10" max="10" width="11.28125" style="6" bestFit="1" customWidth="1"/>
    <col min="11" max="11" width="12.7109375" style="6" bestFit="1" customWidth="1"/>
    <col min="12" max="12" width="9.8515625" style="6" customWidth="1"/>
    <col min="13" max="14" width="11.28125" style="6" bestFit="1" customWidth="1"/>
  </cols>
  <sheetData>
    <row r="1" spans="1:8" ht="15">
      <c r="A1" s="2" t="s">
        <v>190</v>
      </c>
      <c r="B1" s="2"/>
      <c r="C1" s="3"/>
      <c r="D1" s="3"/>
      <c r="E1" s="3"/>
      <c r="F1" s="3"/>
      <c r="G1" s="3"/>
      <c r="H1" s="3"/>
    </row>
    <row r="2" spans="4:13" ht="15">
      <c r="D2" s="3"/>
      <c r="E2" s="3"/>
      <c r="F2" s="3"/>
      <c r="G2" s="3"/>
      <c r="K2" s="4"/>
      <c r="L2" s="4"/>
      <c r="M2" s="4"/>
    </row>
    <row r="3" spans="4:13" ht="15">
      <c r="D3" s="3"/>
      <c r="E3" s="3"/>
      <c r="F3" s="3"/>
      <c r="G3" s="3"/>
      <c r="K3" s="4"/>
      <c r="L3" s="4"/>
      <c r="M3" s="4"/>
    </row>
    <row r="4" spans="1:14" ht="12.75">
      <c r="A4" s="700" t="s">
        <v>135</v>
      </c>
      <c r="B4" s="702" t="s">
        <v>5</v>
      </c>
      <c r="C4" s="704" t="s">
        <v>176</v>
      </c>
      <c r="D4" s="705"/>
      <c r="E4" s="706"/>
      <c r="F4" s="713" t="s">
        <v>177</v>
      </c>
      <c r="G4" s="714"/>
      <c r="H4" s="715"/>
      <c r="I4" s="704" t="s">
        <v>133</v>
      </c>
      <c r="J4" s="705"/>
      <c r="K4" s="706"/>
      <c r="L4" s="704" t="s">
        <v>134</v>
      </c>
      <c r="M4" s="705"/>
      <c r="N4" s="706"/>
    </row>
    <row r="5" spans="1:14" ht="12.75">
      <c r="A5" s="701"/>
      <c r="B5" s="703"/>
      <c r="C5" s="707"/>
      <c r="D5" s="708"/>
      <c r="E5" s="709"/>
      <c r="F5" s="716"/>
      <c r="G5" s="717"/>
      <c r="H5" s="718"/>
      <c r="I5" s="707"/>
      <c r="J5" s="708"/>
      <c r="K5" s="709"/>
      <c r="L5" s="707"/>
      <c r="M5" s="708"/>
      <c r="N5" s="709"/>
    </row>
    <row r="6" spans="1:14" ht="12.75">
      <c r="A6" s="701"/>
      <c r="B6" s="703"/>
      <c r="C6" s="710"/>
      <c r="D6" s="711"/>
      <c r="E6" s="712"/>
      <c r="F6" s="719"/>
      <c r="G6" s="720"/>
      <c r="H6" s="721"/>
      <c r="I6" s="710"/>
      <c r="J6" s="711"/>
      <c r="K6" s="712"/>
      <c r="L6" s="710"/>
      <c r="M6" s="711"/>
      <c r="N6" s="712"/>
    </row>
    <row r="7" spans="1:14" ht="12.75">
      <c r="A7" s="47"/>
      <c r="B7" s="47"/>
      <c r="C7" s="90" t="s">
        <v>57</v>
      </c>
      <c r="D7" s="90" t="s">
        <v>106</v>
      </c>
      <c r="E7" s="90" t="s">
        <v>136</v>
      </c>
      <c r="F7" s="90" t="s">
        <v>57</v>
      </c>
      <c r="G7" s="90" t="s">
        <v>106</v>
      </c>
      <c r="H7" s="90" t="s">
        <v>136</v>
      </c>
      <c r="I7" s="90" t="s">
        <v>57</v>
      </c>
      <c r="J7" s="90" t="s">
        <v>106</v>
      </c>
      <c r="K7" s="90" t="s">
        <v>136</v>
      </c>
      <c r="L7" s="90" t="s">
        <v>57</v>
      </c>
      <c r="M7" s="90" t="s">
        <v>106</v>
      </c>
      <c r="N7" s="90" t="s">
        <v>136</v>
      </c>
    </row>
    <row r="8" spans="1:14" s="117" customFormat="1" ht="12.75">
      <c r="A8" s="115">
        <v>1</v>
      </c>
      <c r="B8" s="116" t="s">
        <v>7</v>
      </c>
      <c r="C8" s="116">
        <v>3105</v>
      </c>
      <c r="D8" s="116">
        <v>1736</v>
      </c>
      <c r="E8" s="116">
        <v>1972</v>
      </c>
      <c r="F8" s="116">
        <v>183</v>
      </c>
      <c r="G8" s="116">
        <v>564</v>
      </c>
      <c r="H8" s="116">
        <v>571</v>
      </c>
      <c r="I8" s="116">
        <v>2537</v>
      </c>
      <c r="J8" s="116">
        <v>1787</v>
      </c>
      <c r="K8" s="116">
        <v>2101</v>
      </c>
      <c r="L8" s="116">
        <v>0</v>
      </c>
      <c r="M8" s="116">
        <v>0</v>
      </c>
      <c r="N8" s="116">
        <v>0</v>
      </c>
    </row>
    <row r="9" spans="1:14" s="117" customFormat="1" ht="12.75">
      <c r="A9" s="115">
        <v>2</v>
      </c>
      <c r="B9" s="116" t="s">
        <v>8</v>
      </c>
      <c r="C9" s="116">
        <v>4</v>
      </c>
      <c r="D9" s="116">
        <v>3</v>
      </c>
      <c r="E9" s="116">
        <v>1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</row>
    <row r="10" spans="1:14" s="117" customFormat="1" ht="12.75">
      <c r="A10" s="115">
        <v>3</v>
      </c>
      <c r="B10" s="116" t="s">
        <v>9</v>
      </c>
      <c r="C10" s="116">
        <v>196</v>
      </c>
      <c r="D10" s="116">
        <v>446</v>
      </c>
      <c r="E10" s="116">
        <v>402</v>
      </c>
      <c r="F10" s="116">
        <v>22</v>
      </c>
      <c r="G10" s="116">
        <v>243</v>
      </c>
      <c r="H10" s="116">
        <v>221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</row>
    <row r="11" spans="1:14" ht="12.75">
      <c r="A11" s="50">
        <v>4</v>
      </c>
      <c r="B11" s="51" t="s">
        <v>10</v>
      </c>
      <c r="C11" s="51">
        <v>2407</v>
      </c>
      <c r="D11" s="51">
        <v>4133</v>
      </c>
      <c r="E11" s="51">
        <v>3202</v>
      </c>
      <c r="F11" s="51">
        <v>1841</v>
      </c>
      <c r="G11" s="51">
        <v>3103</v>
      </c>
      <c r="H11" s="51">
        <v>2193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1:14" ht="12.75">
      <c r="A12" s="50">
        <v>5</v>
      </c>
      <c r="B12" s="51" t="s">
        <v>11</v>
      </c>
      <c r="C12" s="51">
        <v>217</v>
      </c>
      <c r="D12" s="51">
        <v>479</v>
      </c>
      <c r="E12" s="51">
        <v>448</v>
      </c>
      <c r="F12" s="51">
        <v>6</v>
      </c>
      <c r="G12" s="51">
        <v>80</v>
      </c>
      <c r="H12" s="51">
        <v>35</v>
      </c>
      <c r="I12" s="51">
        <v>13</v>
      </c>
      <c r="J12" s="51">
        <v>110</v>
      </c>
      <c r="K12" s="51">
        <v>90</v>
      </c>
      <c r="L12" s="51">
        <v>0</v>
      </c>
      <c r="M12" s="51">
        <v>0</v>
      </c>
      <c r="N12" s="51">
        <v>0</v>
      </c>
    </row>
    <row r="13" spans="1:14" ht="12.75">
      <c r="A13" s="50">
        <v>6</v>
      </c>
      <c r="B13" s="51" t="s">
        <v>12</v>
      </c>
      <c r="C13" s="51">
        <v>814</v>
      </c>
      <c r="D13" s="51">
        <v>750</v>
      </c>
      <c r="E13" s="51">
        <v>691</v>
      </c>
      <c r="F13" s="51">
        <v>227</v>
      </c>
      <c r="G13" s="51">
        <v>253</v>
      </c>
      <c r="H13" s="51">
        <v>215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1:14" s="103" customFormat="1" ht="12.75">
      <c r="A14" s="54">
        <v>7</v>
      </c>
      <c r="B14" s="57" t="s">
        <v>13</v>
      </c>
      <c r="C14" s="57">
        <v>18385</v>
      </c>
      <c r="D14" s="57">
        <v>6722</v>
      </c>
      <c r="E14" s="57">
        <v>6642</v>
      </c>
      <c r="F14" s="57">
        <v>465</v>
      </c>
      <c r="G14" s="57">
        <v>1456</v>
      </c>
      <c r="H14" s="57">
        <v>1359</v>
      </c>
      <c r="I14" s="57">
        <v>261</v>
      </c>
      <c r="J14" s="57">
        <v>319</v>
      </c>
      <c r="K14" s="57">
        <v>133</v>
      </c>
      <c r="L14" s="57">
        <v>0</v>
      </c>
      <c r="M14" s="57">
        <v>0</v>
      </c>
      <c r="N14" s="57">
        <v>0</v>
      </c>
    </row>
    <row r="15" spans="1:14" s="103" customFormat="1" ht="12.75">
      <c r="A15" s="54">
        <v>8</v>
      </c>
      <c r="B15" s="57" t="s">
        <v>162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ht="12.75">
      <c r="A16" s="50">
        <v>9</v>
      </c>
      <c r="B16" s="51" t="s">
        <v>14</v>
      </c>
      <c r="C16" s="51">
        <v>320</v>
      </c>
      <c r="D16" s="51">
        <v>417</v>
      </c>
      <c r="E16" s="51">
        <v>273</v>
      </c>
      <c r="F16" s="51">
        <v>295</v>
      </c>
      <c r="G16" s="51">
        <v>398</v>
      </c>
      <c r="H16" s="51">
        <v>253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1.25" customHeight="1">
      <c r="A17" s="50">
        <v>10</v>
      </c>
      <c r="B17" s="51" t="s">
        <v>15</v>
      </c>
      <c r="C17" s="51">
        <v>3</v>
      </c>
      <c r="D17" s="51">
        <v>2</v>
      </c>
      <c r="E17" s="51">
        <v>0</v>
      </c>
      <c r="F17" s="51">
        <v>1</v>
      </c>
      <c r="G17" s="51">
        <v>5</v>
      </c>
      <c r="H17" s="51">
        <v>4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1:14" ht="12.75">
      <c r="A18" s="50">
        <v>11</v>
      </c>
      <c r="B18" s="51" t="s">
        <v>16</v>
      </c>
      <c r="C18" s="51">
        <v>26</v>
      </c>
      <c r="D18" s="51">
        <v>57</v>
      </c>
      <c r="E18" s="51">
        <v>55</v>
      </c>
      <c r="F18" s="51">
        <v>26</v>
      </c>
      <c r="G18" s="51">
        <v>57</v>
      </c>
      <c r="H18" s="51">
        <v>55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1:14" ht="12.75">
      <c r="A19" s="50">
        <v>12</v>
      </c>
      <c r="B19" s="51" t="s">
        <v>17</v>
      </c>
      <c r="C19" s="51">
        <v>478</v>
      </c>
      <c r="D19" s="51">
        <v>4184</v>
      </c>
      <c r="E19" s="51">
        <v>2676</v>
      </c>
      <c r="F19" s="51">
        <v>35</v>
      </c>
      <c r="G19" s="51">
        <v>60</v>
      </c>
      <c r="H19" s="51">
        <v>50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</row>
    <row r="20" spans="1:14" ht="12.75">
      <c r="A20" s="50">
        <v>13</v>
      </c>
      <c r="B20" s="51" t="s">
        <v>164</v>
      </c>
      <c r="C20" s="51">
        <v>114</v>
      </c>
      <c r="D20" s="51">
        <v>156</v>
      </c>
      <c r="E20" s="51">
        <v>121</v>
      </c>
      <c r="F20" s="51">
        <v>114</v>
      </c>
      <c r="G20" s="51">
        <v>156</v>
      </c>
      <c r="H20" s="51">
        <v>121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</row>
    <row r="21" spans="1:14" ht="12.75">
      <c r="A21" s="50">
        <v>14</v>
      </c>
      <c r="B21" s="51" t="s">
        <v>77</v>
      </c>
      <c r="C21" s="51">
        <v>503</v>
      </c>
      <c r="D21" s="51">
        <v>1136</v>
      </c>
      <c r="E21" s="51">
        <v>1090</v>
      </c>
      <c r="F21" s="51">
        <v>503</v>
      </c>
      <c r="G21" s="51">
        <v>1136</v>
      </c>
      <c r="H21" s="51">
        <v>1090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1:14" ht="12.75">
      <c r="A22" s="50">
        <v>15</v>
      </c>
      <c r="B22" s="51" t="s">
        <v>105</v>
      </c>
      <c r="C22" s="51">
        <v>87</v>
      </c>
      <c r="D22" s="51">
        <v>134</v>
      </c>
      <c r="E22" s="51">
        <v>144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1:14" s="103" customFormat="1" ht="12.75">
      <c r="A23" s="54">
        <v>16</v>
      </c>
      <c r="B23" s="57" t="s">
        <v>20</v>
      </c>
      <c r="C23" s="57">
        <v>10</v>
      </c>
      <c r="D23" s="57">
        <v>250</v>
      </c>
      <c r="E23" s="57">
        <v>246</v>
      </c>
      <c r="F23" s="57">
        <v>10</v>
      </c>
      <c r="G23" s="57">
        <v>280</v>
      </c>
      <c r="H23" s="57">
        <v>334</v>
      </c>
      <c r="I23" s="57">
        <v>10</v>
      </c>
      <c r="J23" s="57">
        <v>250</v>
      </c>
      <c r="K23" s="57">
        <v>246</v>
      </c>
      <c r="L23" s="57">
        <v>0</v>
      </c>
      <c r="M23" s="57">
        <v>0</v>
      </c>
      <c r="N23" s="57">
        <v>0</v>
      </c>
    </row>
    <row r="24" spans="1:14" ht="12.75">
      <c r="A24" s="50">
        <v>17</v>
      </c>
      <c r="B24" s="51" t="s">
        <v>21</v>
      </c>
      <c r="C24" s="51">
        <v>6286</v>
      </c>
      <c r="D24" s="51">
        <v>2208</v>
      </c>
      <c r="E24" s="51">
        <v>2387</v>
      </c>
      <c r="F24" s="51">
        <v>344</v>
      </c>
      <c r="G24" s="51">
        <v>1871</v>
      </c>
      <c r="H24" s="51">
        <v>1897</v>
      </c>
      <c r="I24" s="51">
        <v>39</v>
      </c>
      <c r="J24" s="51">
        <v>222</v>
      </c>
      <c r="K24" s="51">
        <v>222</v>
      </c>
      <c r="L24" s="51">
        <v>0</v>
      </c>
      <c r="M24" s="51">
        <v>0</v>
      </c>
      <c r="N24" s="51">
        <v>0</v>
      </c>
    </row>
    <row r="25" spans="1:14" ht="12.75">
      <c r="A25" s="50">
        <v>18</v>
      </c>
      <c r="B25" s="51" t="s">
        <v>19</v>
      </c>
      <c r="C25" s="51">
        <v>19</v>
      </c>
      <c r="D25" s="51">
        <v>69</v>
      </c>
      <c r="E25" s="51">
        <v>38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</row>
    <row r="26" spans="1:14" ht="12.75">
      <c r="A26" s="50">
        <v>19</v>
      </c>
      <c r="B26" s="51" t="s">
        <v>124</v>
      </c>
      <c r="C26" s="51">
        <v>0</v>
      </c>
      <c r="D26" s="51">
        <v>0</v>
      </c>
      <c r="E26" s="51">
        <v>0</v>
      </c>
      <c r="F26" s="51">
        <v>5</v>
      </c>
      <c r="G26" s="51">
        <v>39</v>
      </c>
      <c r="H26" s="51">
        <v>38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</row>
    <row r="27" spans="1:14" s="165" customFormat="1" ht="14.25">
      <c r="A27" s="163"/>
      <c r="B27" s="128" t="s">
        <v>224</v>
      </c>
      <c r="C27" s="128">
        <f aca="true" t="shared" si="0" ref="C27:N27">SUM(C8:C26)</f>
        <v>32974</v>
      </c>
      <c r="D27" s="128">
        <f t="shared" si="0"/>
        <v>22882</v>
      </c>
      <c r="E27" s="128">
        <f t="shared" si="0"/>
        <v>20388</v>
      </c>
      <c r="F27" s="128">
        <f t="shared" si="0"/>
        <v>4077</v>
      </c>
      <c r="G27" s="128">
        <f t="shared" si="0"/>
        <v>9701</v>
      </c>
      <c r="H27" s="128">
        <f t="shared" si="0"/>
        <v>8436</v>
      </c>
      <c r="I27" s="128">
        <f t="shared" si="0"/>
        <v>2860</v>
      </c>
      <c r="J27" s="128">
        <f t="shared" si="0"/>
        <v>2688</v>
      </c>
      <c r="K27" s="128">
        <f t="shared" si="0"/>
        <v>2792</v>
      </c>
      <c r="L27" s="128">
        <f t="shared" si="0"/>
        <v>0</v>
      </c>
      <c r="M27" s="128">
        <f t="shared" si="0"/>
        <v>0</v>
      </c>
      <c r="N27" s="128">
        <f t="shared" si="0"/>
        <v>0</v>
      </c>
    </row>
    <row r="28" spans="1:14" ht="12.75">
      <c r="A28" s="54">
        <v>20</v>
      </c>
      <c r="B28" s="51" t="s">
        <v>23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ht="12.75">
      <c r="A29" s="54">
        <v>21</v>
      </c>
      <c r="B29" s="51" t="s">
        <v>269</v>
      </c>
      <c r="C29" s="51">
        <v>2</v>
      </c>
      <c r="D29" s="51">
        <v>14</v>
      </c>
      <c r="E29" s="51">
        <v>12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ht="12.75">
      <c r="A30" s="54">
        <v>22</v>
      </c>
      <c r="B30" s="51" t="s">
        <v>169</v>
      </c>
      <c r="C30" s="51">
        <v>21</v>
      </c>
      <c r="D30" s="51">
        <v>19</v>
      </c>
      <c r="E30" s="51">
        <v>17</v>
      </c>
      <c r="F30" s="51">
        <v>5</v>
      </c>
      <c r="G30" s="51">
        <v>3</v>
      </c>
      <c r="H30" s="51">
        <v>2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</row>
    <row r="31" spans="1:14" ht="12.75">
      <c r="A31" s="54">
        <v>23</v>
      </c>
      <c r="B31" s="51" t="s">
        <v>22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</row>
    <row r="32" spans="1:14" s="103" customFormat="1" ht="12.75">
      <c r="A32" s="54">
        <v>24</v>
      </c>
      <c r="B32" s="57" t="s">
        <v>141</v>
      </c>
      <c r="C32" s="57">
        <v>28</v>
      </c>
      <c r="D32" s="57">
        <v>11</v>
      </c>
      <c r="E32" s="57">
        <v>10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</row>
    <row r="33" spans="1:14" ht="12.75">
      <c r="A33" s="54">
        <v>25</v>
      </c>
      <c r="B33" s="51" t="s">
        <v>18</v>
      </c>
      <c r="C33" s="51">
        <v>6056</v>
      </c>
      <c r="D33" s="51">
        <v>24557</v>
      </c>
      <c r="E33" s="51">
        <v>18301</v>
      </c>
      <c r="F33" s="51">
        <v>835</v>
      </c>
      <c r="G33" s="51">
        <v>3386</v>
      </c>
      <c r="H33" s="51">
        <v>2523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</row>
    <row r="34" spans="1:15" ht="12.75">
      <c r="A34" s="54">
        <v>26</v>
      </c>
      <c r="B34" s="51" t="s">
        <v>104</v>
      </c>
      <c r="C34" s="51">
        <v>6778</v>
      </c>
      <c r="D34" s="51">
        <v>3275</v>
      </c>
      <c r="E34" s="51">
        <v>2914</v>
      </c>
      <c r="F34" s="51">
        <v>174</v>
      </c>
      <c r="G34" s="51">
        <v>562</v>
      </c>
      <c r="H34" s="51">
        <v>452</v>
      </c>
      <c r="I34" s="51">
        <v>23</v>
      </c>
      <c r="J34" s="51">
        <v>980</v>
      </c>
      <c r="K34" s="51">
        <v>732</v>
      </c>
      <c r="L34" s="51">
        <v>0</v>
      </c>
      <c r="M34" s="51">
        <v>0</v>
      </c>
      <c r="N34" s="51">
        <v>0</v>
      </c>
      <c r="O34" s="7"/>
    </row>
    <row r="35" spans="1:15" s="165" customFormat="1" ht="14.25">
      <c r="A35" s="163"/>
      <c r="B35" s="128" t="s">
        <v>226</v>
      </c>
      <c r="C35" s="128">
        <f aca="true" t="shared" si="1" ref="C35:N35">SUM(C28:C34)</f>
        <v>12885</v>
      </c>
      <c r="D35" s="128">
        <f t="shared" si="1"/>
        <v>27876</v>
      </c>
      <c r="E35" s="128">
        <f t="shared" si="1"/>
        <v>21254</v>
      </c>
      <c r="F35" s="128">
        <f t="shared" si="1"/>
        <v>1014</v>
      </c>
      <c r="G35" s="128">
        <f t="shared" si="1"/>
        <v>3951</v>
      </c>
      <c r="H35" s="128">
        <f t="shared" si="1"/>
        <v>2977</v>
      </c>
      <c r="I35" s="128">
        <f t="shared" si="1"/>
        <v>23</v>
      </c>
      <c r="J35" s="128">
        <f t="shared" si="1"/>
        <v>980</v>
      </c>
      <c r="K35" s="128">
        <f t="shared" si="1"/>
        <v>732</v>
      </c>
      <c r="L35" s="128">
        <f t="shared" si="1"/>
        <v>0</v>
      </c>
      <c r="M35" s="128">
        <f t="shared" si="1"/>
        <v>0</v>
      </c>
      <c r="N35" s="128">
        <f t="shared" si="1"/>
        <v>0</v>
      </c>
      <c r="O35" s="166"/>
    </row>
    <row r="36" spans="1:14" ht="12.75">
      <c r="A36" s="54">
        <v>27</v>
      </c>
      <c r="B36" s="51" t="s">
        <v>163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</row>
    <row r="37" spans="1:14" s="103" customFormat="1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</row>
    <row r="38" spans="1:14" ht="12.75">
      <c r="A38" s="54">
        <v>29</v>
      </c>
      <c r="B38" s="51" t="s">
        <v>218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</row>
    <row r="39" spans="1:14" ht="12.75">
      <c r="A39" s="54">
        <v>30</v>
      </c>
      <c r="B39" s="51" t="s">
        <v>236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</row>
    <row r="40" spans="1:14" s="103" customFormat="1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</row>
    <row r="41" spans="1:14" ht="12.75">
      <c r="A41" s="54">
        <v>32</v>
      </c>
      <c r="B41" s="51" t="s">
        <v>220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</row>
    <row r="42" spans="1:14" ht="12.75">
      <c r="A42" s="110">
        <v>33</v>
      </c>
      <c r="B42" s="113" t="s">
        <v>363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</row>
    <row r="43" spans="1:15" s="103" customFormat="1" ht="12.75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100"/>
    </row>
    <row r="44" spans="1:14" ht="12.75">
      <c r="A44" s="54">
        <v>35</v>
      </c>
      <c r="B44" s="51" t="s">
        <v>256</v>
      </c>
      <c r="C44" s="51">
        <v>5</v>
      </c>
      <c r="D44" s="51">
        <v>0</v>
      </c>
      <c r="E44" s="51">
        <v>2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</row>
    <row r="45" spans="1:14" ht="12.75">
      <c r="A45" s="54">
        <v>36</v>
      </c>
      <c r="B45" s="51" t="s">
        <v>24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7</v>
      </c>
      <c r="J45" s="51">
        <v>0</v>
      </c>
      <c r="K45" s="51">
        <v>18</v>
      </c>
      <c r="L45" s="51">
        <v>0</v>
      </c>
      <c r="M45" s="51">
        <v>0</v>
      </c>
      <c r="N45" s="51">
        <v>0</v>
      </c>
    </row>
    <row r="46" spans="1:14" ht="12.75">
      <c r="A46" s="54">
        <v>37</v>
      </c>
      <c r="B46" s="51" t="s">
        <v>223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</row>
    <row r="47" spans="1:14" ht="12.75">
      <c r="A47" s="54">
        <v>38</v>
      </c>
      <c r="B47" s="51" t="s">
        <v>364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</row>
    <row r="48" spans="1:15" ht="12.75">
      <c r="A48" s="54">
        <v>39</v>
      </c>
      <c r="B48" s="57" t="s">
        <v>366</v>
      </c>
      <c r="C48" s="51">
        <v>0</v>
      </c>
      <c r="D48" s="51">
        <v>0</v>
      </c>
      <c r="E48" s="51">
        <v>0</v>
      </c>
      <c r="F48" s="51">
        <v>5</v>
      </c>
      <c r="G48" s="51">
        <v>188</v>
      </c>
      <c r="H48" s="51">
        <v>154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100"/>
    </row>
    <row r="49" spans="1:14" s="165" customFormat="1" ht="14.25">
      <c r="A49" s="163"/>
      <c r="B49" s="128" t="s">
        <v>225</v>
      </c>
      <c r="C49" s="128">
        <f>SUM(C36:C48)</f>
        <v>5</v>
      </c>
      <c r="D49" s="128">
        <f aca="true" t="shared" si="2" ref="D49:K49">SUM(D36:D48)</f>
        <v>0</v>
      </c>
      <c r="E49" s="128">
        <f t="shared" si="2"/>
        <v>2</v>
      </c>
      <c r="F49" s="128">
        <f t="shared" si="2"/>
        <v>5</v>
      </c>
      <c r="G49" s="128">
        <f t="shared" si="2"/>
        <v>188</v>
      </c>
      <c r="H49" s="128">
        <f t="shared" si="2"/>
        <v>154</v>
      </c>
      <c r="I49" s="128">
        <f t="shared" si="2"/>
        <v>7</v>
      </c>
      <c r="J49" s="128">
        <f t="shared" si="2"/>
        <v>0</v>
      </c>
      <c r="K49" s="128">
        <f t="shared" si="2"/>
        <v>18</v>
      </c>
      <c r="L49" s="128">
        <f>SUM(L36:L48)</f>
        <v>0</v>
      </c>
      <c r="M49" s="128">
        <f>SUM(M36:M48)</f>
        <v>0</v>
      </c>
      <c r="N49" s="128">
        <f>SUM(N36:N48)</f>
        <v>0</v>
      </c>
    </row>
    <row r="50" spans="1:14" s="165" customFormat="1" ht="14.25">
      <c r="A50" s="163"/>
      <c r="B50" s="87" t="s">
        <v>123</v>
      </c>
      <c r="C50" s="128">
        <f aca="true" t="shared" si="3" ref="C50:K50">SUM(C49,C35,C27)</f>
        <v>45864</v>
      </c>
      <c r="D50" s="128">
        <f t="shared" si="3"/>
        <v>50758</v>
      </c>
      <c r="E50" s="128">
        <f t="shared" si="3"/>
        <v>41644</v>
      </c>
      <c r="F50" s="128">
        <f t="shared" si="3"/>
        <v>5096</v>
      </c>
      <c r="G50" s="128">
        <f t="shared" si="3"/>
        <v>13840</v>
      </c>
      <c r="H50" s="128">
        <f t="shared" si="3"/>
        <v>11567</v>
      </c>
      <c r="I50" s="128">
        <f t="shared" si="3"/>
        <v>2890</v>
      </c>
      <c r="J50" s="128">
        <f t="shared" si="3"/>
        <v>3668</v>
      </c>
      <c r="K50" s="128">
        <f t="shared" si="3"/>
        <v>3542</v>
      </c>
      <c r="L50" s="128">
        <f>L27+L35+L49</f>
        <v>0</v>
      </c>
      <c r="M50" s="128">
        <f>M27+M35+M49</f>
        <v>0</v>
      </c>
      <c r="N50" s="128">
        <f>N27+N35+N49</f>
        <v>0</v>
      </c>
    </row>
    <row r="51" spans="1:14" ht="12.75">
      <c r="A51" s="50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1"/>
    </row>
    <row r="52" spans="2:13" ht="15" customHeight="1"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" customHeight="1">
      <c r="B53" s="2"/>
    </row>
    <row r="54" ht="15" customHeight="1">
      <c r="B54" s="2"/>
    </row>
    <row r="55" spans="1:14" ht="12.75">
      <c r="A55" s="700" t="s">
        <v>135</v>
      </c>
      <c r="B55" s="702" t="s">
        <v>5</v>
      </c>
      <c r="C55" s="704" t="s">
        <v>176</v>
      </c>
      <c r="D55" s="705"/>
      <c r="E55" s="706"/>
      <c r="F55" s="713" t="s">
        <v>177</v>
      </c>
      <c r="G55" s="714"/>
      <c r="H55" s="715"/>
      <c r="I55" s="704" t="s">
        <v>133</v>
      </c>
      <c r="J55" s="705"/>
      <c r="K55" s="706"/>
      <c r="L55" s="704" t="s">
        <v>134</v>
      </c>
      <c r="M55" s="705"/>
      <c r="N55" s="706"/>
    </row>
    <row r="56" spans="1:14" ht="12.75">
      <c r="A56" s="701"/>
      <c r="B56" s="703"/>
      <c r="C56" s="707"/>
      <c r="D56" s="708"/>
      <c r="E56" s="709"/>
      <c r="F56" s="716"/>
      <c r="G56" s="717"/>
      <c r="H56" s="718"/>
      <c r="I56" s="707"/>
      <c r="J56" s="708"/>
      <c r="K56" s="709"/>
      <c r="L56" s="707"/>
      <c r="M56" s="708"/>
      <c r="N56" s="709"/>
    </row>
    <row r="57" spans="1:14" ht="12.75">
      <c r="A57" s="701"/>
      <c r="B57" s="703"/>
      <c r="C57" s="710"/>
      <c r="D57" s="711"/>
      <c r="E57" s="712"/>
      <c r="F57" s="719"/>
      <c r="G57" s="720"/>
      <c r="H57" s="721"/>
      <c r="I57" s="710"/>
      <c r="J57" s="711"/>
      <c r="K57" s="712"/>
      <c r="L57" s="710"/>
      <c r="M57" s="711"/>
      <c r="N57" s="712"/>
    </row>
    <row r="58" spans="1:17" ht="12.75">
      <c r="A58" s="47"/>
      <c r="B58" s="47"/>
      <c r="C58" s="90" t="s">
        <v>57</v>
      </c>
      <c r="D58" s="90" t="s">
        <v>106</v>
      </c>
      <c r="E58" s="90" t="s">
        <v>136</v>
      </c>
      <c r="F58" s="90" t="s">
        <v>57</v>
      </c>
      <c r="G58" s="90" t="s">
        <v>106</v>
      </c>
      <c r="H58" s="90" t="s">
        <v>136</v>
      </c>
      <c r="I58" s="90" t="s">
        <v>57</v>
      </c>
      <c r="J58" s="90" t="s">
        <v>106</v>
      </c>
      <c r="K58" s="90" t="s">
        <v>136</v>
      </c>
      <c r="L58" s="90" t="s">
        <v>57</v>
      </c>
      <c r="M58" s="90" t="s">
        <v>106</v>
      </c>
      <c r="N58" s="90" t="s">
        <v>136</v>
      </c>
      <c r="O58" s="6"/>
      <c r="P58" s="6"/>
      <c r="Q58" s="6"/>
    </row>
    <row r="59" spans="1:14" ht="12.75">
      <c r="A59" s="54">
        <v>40</v>
      </c>
      <c r="B59" s="57" t="s">
        <v>78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</row>
    <row r="60" spans="1:14" ht="12.75">
      <c r="A60" s="54">
        <v>41</v>
      </c>
      <c r="B60" s="57" t="s">
        <v>278</v>
      </c>
      <c r="C60" s="51">
        <v>0</v>
      </c>
      <c r="D60" s="51">
        <v>0</v>
      </c>
      <c r="E60" s="51">
        <v>0</v>
      </c>
      <c r="F60" s="51">
        <v>0</v>
      </c>
      <c r="G60" s="57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</row>
    <row r="61" spans="1:14" ht="12.75">
      <c r="A61" s="54">
        <v>42</v>
      </c>
      <c r="B61" s="57" t="s">
        <v>30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</row>
    <row r="62" spans="1:14" ht="12.75">
      <c r="A62" s="54">
        <v>43</v>
      </c>
      <c r="B62" s="57" t="s">
        <v>234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</row>
    <row r="63" spans="1:14" ht="12.75">
      <c r="A63" s="54">
        <v>44</v>
      </c>
      <c r="B63" s="57" t="s">
        <v>29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</row>
    <row r="64" spans="1:14" ht="12.75">
      <c r="A64" s="54">
        <v>45</v>
      </c>
      <c r="B64" s="57" t="s">
        <v>391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</row>
    <row r="65" spans="1:14" ht="12.75">
      <c r="A65" s="54">
        <v>46</v>
      </c>
      <c r="B65" s="57" t="s">
        <v>25</v>
      </c>
      <c r="C65" s="51">
        <v>2087</v>
      </c>
      <c r="D65" s="51">
        <v>380</v>
      </c>
      <c r="E65" s="51">
        <v>255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</row>
    <row r="66" spans="1:14" ht="12.75">
      <c r="A66" s="54">
        <v>47</v>
      </c>
      <c r="B66" s="57" t="s">
        <v>28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</row>
    <row r="67" spans="1:14" s="165" customFormat="1" ht="14.25">
      <c r="A67" s="54"/>
      <c r="B67" s="87" t="s">
        <v>123</v>
      </c>
      <c r="C67" s="128">
        <f aca="true" t="shared" si="4" ref="C67:N67">SUM(C58:C66)</f>
        <v>2087</v>
      </c>
      <c r="D67" s="128">
        <f t="shared" si="4"/>
        <v>380</v>
      </c>
      <c r="E67" s="128">
        <f t="shared" si="4"/>
        <v>255</v>
      </c>
      <c r="F67" s="128">
        <f t="shared" si="4"/>
        <v>0</v>
      </c>
      <c r="G67" s="128">
        <f t="shared" si="4"/>
        <v>0</v>
      </c>
      <c r="H67" s="128">
        <f t="shared" si="4"/>
        <v>0</v>
      </c>
      <c r="I67" s="128">
        <f t="shared" si="4"/>
        <v>0</v>
      </c>
      <c r="J67" s="128">
        <f t="shared" si="4"/>
        <v>0</v>
      </c>
      <c r="K67" s="128">
        <f t="shared" si="4"/>
        <v>0</v>
      </c>
      <c r="L67" s="128">
        <f t="shared" si="4"/>
        <v>0</v>
      </c>
      <c r="M67" s="128">
        <f t="shared" si="4"/>
        <v>0</v>
      </c>
      <c r="N67" s="128">
        <f t="shared" si="4"/>
        <v>0</v>
      </c>
    </row>
    <row r="68" spans="1:14" ht="12.75">
      <c r="A68" s="54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12.75">
      <c r="A69" s="54">
        <v>48</v>
      </c>
      <c r="B69" s="51" t="s">
        <v>34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</row>
    <row r="70" spans="1:14" ht="12.75">
      <c r="A70" s="54">
        <v>49</v>
      </c>
      <c r="B70" s="51" t="s">
        <v>130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</row>
    <row r="71" spans="1:14" s="165" customFormat="1" ht="14.25">
      <c r="A71" s="163"/>
      <c r="B71" s="87" t="s">
        <v>123</v>
      </c>
      <c r="C71" s="128">
        <f aca="true" t="shared" si="5" ref="C71:N71">SUM(C69:C70)</f>
        <v>0</v>
      </c>
      <c r="D71" s="128">
        <f t="shared" si="5"/>
        <v>0</v>
      </c>
      <c r="E71" s="128">
        <f t="shared" si="5"/>
        <v>0</v>
      </c>
      <c r="F71" s="128">
        <f t="shared" si="5"/>
        <v>0</v>
      </c>
      <c r="G71" s="128">
        <f t="shared" si="5"/>
        <v>0</v>
      </c>
      <c r="H71" s="128">
        <f t="shared" si="5"/>
        <v>0</v>
      </c>
      <c r="I71" s="128">
        <f t="shared" si="5"/>
        <v>0</v>
      </c>
      <c r="J71" s="128">
        <f t="shared" si="5"/>
        <v>0</v>
      </c>
      <c r="K71" s="128">
        <f t="shared" si="5"/>
        <v>0</v>
      </c>
      <c r="L71" s="128">
        <f t="shared" si="5"/>
        <v>0</v>
      </c>
      <c r="M71" s="128">
        <f t="shared" si="5"/>
        <v>0</v>
      </c>
      <c r="N71" s="128">
        <f t="shared" si="5"/>
        <v>0</v>
      </c>
    </row>
    <row r="72" spans="1:14" s="165" customFormat="1" ht="14.25">
      <c r="A72" s="163"/>
      <c r="B72" s="87" t="s">
        <v>35</v>
      </c>
      <c r="C72" s="128">
        <f aca="true" t="shared" si="6" ref="C72:N72">+C50+C67+C71</f>
        <v>47951</v>
      </c>
      <c r="D72" s="128">
        <f t="shared" si="6"/>
        <v>51138</v>
      </c>
      <c r="E72" s="128">
        <f t="shared" si="6"/>
        <v>41899</v>
      </c>
      <c r="F72" s="128">
        <f t="shared" si="6"/>
        <v>5096</v>
      </c>
      <c r="G72" s="128">
        <f t="shared" si="6"/>
        <v>13840</v>
      </c>
      <c r="H72" s="128">
        <f t="shared" si="6"/>
        <v>11567</v>
      </c>
      <c r="I72" s="128">
        <f t="shared" si="6"/>
        <v>2890</v>
      </c>
      <c r="J72" s="128">
        <f t="shared" si="6"/>
        <v>3668</v>
      </c>
      <c r="K72" s="128">
        <f t="shared" si="6"/>
        <v>3542</v>
      </c>
      <c r="L72" s="128">
        <f t="shared" si="6"/>
        <v>0</v>
      </c>
      <c r="M72" s="128">
        <f t="shared" si="6"/>
        <v>0</v>
      </c>
      <c r="N72" s="128">
        <f t="shared" si="6"/>
        <v>0</v>
      </c>
    </row>
    <row r="73" ht="12.75">
      <c r="B73" s="6"/>
    </row>
    <row r="74" ht="12.75">
      <c r="B74" s="6"/>
    </row>
    <row r="75" spans="2:3" ht="12.75">
      <c r="B75" s="6"/>
      <c r="C75" s="6">
        <v>20</v>
      </c>
    </row>
    <row r="76" ht="12.75">
      <c r="C76" s="6">
        <v>20</v>
      </c>
    </row>
  </sheetData>
  <sheetProtection/>
  <mergeCells count="12">
    <mergeCell ref="A55:A57"/>
    <mergeCell ref="B55:B57"/>
    <mergeCell ref="C55:E57"/>
    <mergeCell ref="F55:H57"/>
    <mergeCell ref="I4:K6"/>
    <mergeCell ref="L4:N6"/>
    <mergeCell ref="I55:K57"/>
    <mergeCell ref="L55:N57"/>
    <mergeCell ref="A4:A6"/>
    <mergeCell ref="B4:B6"/>
    <mergeCell ref="C4:E6"/>
    <mergeCell ref="F4:H6"/>
  </mergeCells>
  <printOptions gridLines="1" horizontalCentered="1"/>
  <pageMargins left="0.75" right="0.75" top="0.56" bottom="0.75" header="0.42" footer="0.5"/>
  <pageSetup blackAndWhite="1" horizontalDpi="300" verticalDpi="300" orientation="landscape" paperSize="9" scale="76" r:id="rId2"/>
  <rowBreaks count="1" manualBreakCount="1">
    <brk id="50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3"/>
  <sheetViews>
    <sheetView zoomScale="110" zoomScaleNormal="110" zoomScalePageLayoutView="0" workbookViewId="0" topLeftCell="E1">
      <selection activeCell="A8" sqref="A8"/>
    </sheetView>
  </sheetViews>
  <sheetFormatPr defaultColWidth="9.140625" defaultRowHeight="12.75"/>
  <cols>
    <col min="1" max="1" width="3.7109375" style="117" customWidth="1"/>
    <col min="2" max="2" width="22.28125" style="117" customWidth="1"/>
    <col min="3" max="3" width="12.00390625" style="127" customWidth="1"/>
    <col min="4" max="4" width="16.8515625" style="127" customWidth="1"/>
    <col min="5" max="5" width="12.28125" style="127" customWidth="1"/>
    <col min="6" max="6" width="18.8515625" style="127" customWidth="1"/>
    <col min="7" max="7" width="20.421875" style="127" customWidth="1"/>
    <col min="8" max="16384" width="9.140625" style="117" customWidth="1"/>
  </cols>
  <sheetData>
    <row r="1" spans="1:7" ht="15">
      <c r="A1" s="292"/>
      <c r="B1" s="292"/>
      <c r="C1" s="294"/>
      <c r="D1" s="294"/>
      <c r="E1" s="294"/>
      <c r="F1" s="294"/>
      <c r="G1" s="294"/>
    </row>
    <row r="2" spans="4:7" ht="15">
      <c r="D2" s="294"/>
      <c r="E2" s="294"/>
      <c r="F2" s="294"/>
      <c r="G2" s="294"/>
    </row>
    <row r="3" spans="4:7" ht="15">
      <c r="D3" s="294"/>
      <c r="E3" s="294"/>
      <c r="F3" s="294"/>
      <c r="G3" s="294"/>
    </row>
    <row r="4" spans="1:7" ht="12.75">
      <c r="A4" s="352" t="s">
        <v>122</v>
      </c>
      <c r="B4" s="352" t="s">
        <v>5</v>
      </c>
      <c r="C4" s="672" t="s">
        <v>172</v>
      </c>
      <c r="D4" s="673"/>
      <c r="E4" s="681"/>
      <c r="F4" s="722" t="s">
        <v>158</v>
      </c>
      <c r="G4" s="723"/>
    </row>
    <row r="5" spans="1:7" ht="12.75">
      <c r="A5" s="331" t="s">
        <v>6</v>
      </c>
      <c r="B5" s="520"/>
      <c r="C5" s="521" t="s">
        <v>157</v>
      </c>
      <c r="D5" s="521" t="s">
        <v>173</v>
      </c>
      <c r="E5" s="521" t="s">
        <v>3</v>
      </c>
      <c r="F5" s="521" t="s">
        <v>161</v>
      </c>
      <c r="G5" s="521" t="s">
        <v>160</v>
      </c>
    </row>
    <row r="6" spans="1:7" ht="12.75">
      <c r="A6" s="520"/>
      <c r="B6" s="331"/>
      <c r="C6" s="522" t="s">
        <v>93</v>
      </c>
      <c r="D6" s="522" t="s">
        <v>175</v>
      </c>
      <c r="E6" s="522" t="s">
        <v>53</v>
      </c>
      <c r="F6" s="522" t="s">
        <v>402</v>
      </c>
      <c r="G6" s="522" t="s">
        <v>159</v>
      </c>
    </row>
    <row r="7" spans="1:7" ht="12.75">
      <c r="A7" s="332"/>
      <c r="B7" s="332"/>
      <c r="C7" s="283"/>
      <c r="D7" s="523" t="s">
        <v>174</v>
      </c>
      <c r="E7" s="523"/>
      <c r="F7" s="283"/>
      <c r="G7" s="283"/>
    </row>
    <row r="8" spans="1:13" ht="12.75">
      <c r="A8" s="115">
        <v>1</v>
      </c>
      <c r="B8" s="116" t="s">
        <v>7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27"/>
      <c r="I8" s="127"/>
      <c r="J8" s="127"/>
      <c r="K8" s="127"/>
      <c r="L8" s="127"/>
      <c r="M8" s="127"/>
    </row>
    <row r="9" spans="1:13" ht="12.75">
      <c r="A9" s="115">
        <v>2</v>
      </c>
      <c r="B9" s="116" t="s">
        <v>8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27"/>
      <c r="I9" s="127"/>
      <c r="J9" s="127"/>
      <c r="K9" s="127"/>
      <c r="L9" s="127"/>
      <c r="M9" s="127"/>
    </row>
    <row r="10" spans="1:13" ht="12.75">
      <c r="A10" s="115">
        <v>3</v>
      </c>
      <c r="B10" s="116" t="s">
        <v>9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27"/>
      <c r="I10" s="127"/>
      <c r="J10" s="127"/>
      <c r="K10" s="127"/>
      <c r="L10" s="127"/>
      <c r="M10" s="127"/>
    </row>
    <row r="11" spans="1:13" ht="12.75">
      <c r="A11" s="115">
        <v>4</v>
      </c>
      <c r="B11" s="116" t="s">
        <v>10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27"/>
      <c r="I11" s="127"/>
      <c r="J11" s="127"/>
      <c r="K11" s="127"/>
      <c r="L11" s="127"/>
      <c r="M11" s="127"/>
    </row>
    <row r="12" spans="1:13" ht="12.75">
      <c r="A12" s="115">
        <v>5</v>
      </c>
      <c r="B12" s="116" t="s">
        <v>11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27"/>
      <c r="I12" s="127"/>
      <c r="J12" s="127"/>
      <c r="K12" s="127"/>
      <c r="L12" s="127"/>
      <c r="M12" s="127"/>
    </row>
    <row r="13" spans="1:13" ht="12.75">
      <c r="A13" s="115">
        <v>6</v>
      </c>
      <c r="B13" s="116" t="s">
        <v>12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27"/>
      <c r="I13" s="127"/>
      <c r="J13" s="127"/>
      <c r="K13" s="127"/>
      <c r="L13" s="127"/>
      <c r="M13" s="127"/>
    </row>
    <row r="14" spans="1:13" s="103" customFormat="1" ht="12.75">
      <c r="A14" s="54">
        <v>7</v>
      </c>
      <c r="B14" s="57" t="s">
        <v>13</v>
      </c>
      <c r="C14" s="57">
        <v>663</v>
      </c>
      <c r="D14" s="57">
        <v>1950</v>
      </c>
      <c r="E14" s="57">
        <v>3550</v>
      </c>
      <c r="F14" s="57">
        <v>0</v>
      </c>
      <c r="G14" s="57">
        <v>0</v>
      </c>
      <c r="H14" s="22"/>
      <c r="I14" s="22"/>
      <c r="J14" s="22"/>
      <c r="K14" s="22"/>
      <c r="L14" s="22"/>
      <c r="M14" s="22"/>
    </row>
    <row r="15" spans="1:13" s="103" customFormat="1" ht="12.75">
      <c r="A15" s="54">
        <v>8</v>
      </c>
      <c r="B15" s="57" t="s">
        <v>162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22"/>
      <c r="I15" s="22"/>
      <c r="J15" s="22"/>
      <c r="K15" s="22"/>
      <c r="L15" s="22"/>
      <c r="M15" s="22"/>
    </row>
    <row r="16" spans="1:13" ht="12.75">
      <c r="A16" s="115">
        <v>9</v>
      </c>
      <c r="B16" s="116" t="s">
        <v>14</v>
      </c>
      <c r="C16" s="116">
        <v>0</v>
      </c>
      <c r="D16" s="116">
        <v>0</v>
      </c>
      <c r="E16" s="116">
        <v>25</v>
      </c>
      <c r="F16" s="116">
        <v>0</v>
      </c>
      <c r="G16" s="116">
        <v>0</v>
      </c>
      <c r="H16" s="127"/>
      <c r="I16" s="127"/>
      <c r="J16" s="127"/>
      <c r="K16" s="127"/>
      <c r="L16" s="127"/>
      <c r="M16" s="127"/>
    </row>
    <row r="17" spans="1:13" ht="12.75">
      <c r="A17" s="115">
        <v>10</v>
      </c>
      <c r="B17" s="116" t="s">
        <v>15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27"/>
      <c r="I17" s="127"/>
      <c r="J17" s="127"/>
      <c r="K17" s="127"/>
      <c r="L17" s="127"/>
      <c r="M17" s="127"/>
    </row>
    <row r="18" spans="1:13" ht="12.75">
      <c r="A18" s="115">
        <v>11</v>
      </c>
      <c r="B18" s="116" t="s">
        <v>16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27"/>
      <c r="I18" s="127"/>
      <c r="J18" s="127"/>
      <c r="K18" s="127"/>
      <c r="L18" s="127"/>
      <c r="M18" s="127"/>
    </row>
    <row r="19" spans="1:13" ht="12.75">
      <c r="A19" s="115">
        <v>12</v>
      </c>
      <c r="B19" s="116" t="s">
        <v>17</v>
      </c>
      <c r="C19" s="116">
        <v>0</v>
      </c>
      <c r="D19" s="116">
        <v>0</v>
      </c>
      <c r="E19" s="116">
        <v>100</v>
      </c>
      <c r="F19" s="116">
        <v>0</v>
      </c>
      <c r="G19" s="116">
        <v>0</v>
      </c>
      <c r="H19" s="127"/>
      <c r="I19" s="127"/>
      <c r="J19" s="127"/>
      <c r="K19" s="127"/>
      <c r="L19" s="127"/>
      <c r="M19" s="127"/>
    </row>
    <row r="20" spans="1:13" ht="12.75">
      <c r="A20" s="115">
        <v>13</v>
      </c>
      <c r="B20" s="116" t="s">
        <v>164</v>
      </c>
      <c r="C20" s="116">
        <v>2251</v>
      </c>
      <c r="D20" s="116">
        <v>616</v>
      </c>
      <c r="E20" s="116">
        <v>3241</v>
      </c>
      <c r="F20" s="116">
        <v>0</v>
      </c>
      <c r="G20" s="116">
        <v>0</v>
      </c>
      <c r="H20" s="127"/>
      <c r="I20" s="127"/>
      <c r="J20" s="127"/>
      <c r="K20" s="127"/>
      <c r="L20" s="127"/>
      <c r="M20" s="127"/>
    </row>
    <row r="21" spans="1:13" ht="12.75">
      <c r="A21" s="115">
        <v>14</v>
      </c>
      <c r="B21" s="116" t="s">
        <v>77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27"/>
      <c r="I21" s="127"/>
      <c r="J21" s="127"/>
      <c r="K21" s="127"/>
      <c r="L21" s="127"/>
      <c r="M21" s="127"/>
    </row>
    <row r="22" spans="1:13" ht="12.75">
      <c r="A22" s="115">
        <v>15</v>
      </c>
      <c r="B22" s="116" t="s">
        <v>105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27"/>
      <c r="I22" s="127"/>
      <c r="J22" s="127"/>
      <c r="K22" s="127"/>
      <c r="L22" s="127"/>
      <c r="M22" s="127"/>
    </row>
    <row r="23" spans="1:13" s="103" customFormat="1" ht="12.75">
      <c r="A23" s="54">
        <v>16</v>
      </c>
      <c r="B23" s="57" t="s">
        <v>20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22"/>
      <c r="I23" s="22"/>
      <c r="J23" s="22"/>
      <c r="K23" s="22"/>
      <c r="L23" s="22"/>
      <c r="M23" s="22"/>
    </row>
    <row r="24" spans="1:13" ht="12.75">
      <c r="A24" s="115">
        <v>17</v>
      </c>
      <c r="B24" s="116" t="s">
        <v>21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27"/>
      <c r="I24" s="127"/>
      <c r="J24" s="127"/>
      <c r="K24" s="127"/>
      <c r="L24" s="127"/>
      <c r="M24" s="127"/>
    </row>
    <row r="25" spans="1:13" ht="12.75">
      <c r="A25" s="115">
        <v>18</v>
      </c>
      <c r="B25" s="116" t="s">
        <v>19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27"/>
      <c r="I25" s="127"/>
      <c r="J25" s="127"/>
      <c r="K25" s="127"/>
      <c r="L25" s="127"/>
      <c r="M25" s="127"/>
    </row>
    <row r="26" spans="1:13" ht="12" customHeight="1">
      <c r="A26" s="115">
        <v>19</v>
      </c>
      <c r="B26" s="116" t="s">
        <v>124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27"/>
      <c r="I26" s="127"/>
      <c r="J26" s="127"/>
      <c r="K26" s="127"/>
      <c r="L26" s="127"/>
      <c r="M26" s="127"/>
    </row>
    <row r="27" spans="1:13" s="334" customFormat="1" ht="14.25">
      <c r="A27" s="325"/>
      <c r="B27" s="326" t="s">
        <v>224</v>
      </c>
      <c r="C27" s="326">
        <f>SUM(C8:C26)</f>
        <v>2914</v>
      </c>
      <c r="D27" s="326">
        <f>SUM(D8:D26)</f>
        <v>2566</v>
      </c>
      <c r="E27" s="326">
        <f>SUM(E8:E26)</f>
        <v>6916</v>
      </c>
      <c r="F27" s="326">
        <f>SUM(F8:F26)</f>
        <v>0</v>
      </c>
      <c r="G27" s="326">
        <f>SUM(G8:G26)</f>
        <v>0</v>
      </c>
      <c r="H27" s="377"/>
      <c r="I27" s="377"/>
      <c r="J27" s="377"/>
      <c r="K27" s="377"/>
      <c r="L27" s="377"/>
      <c r="M27" s="377"/>
    </row>
    <row r="28" spans="1:13" ht="12.75">
      <c r="A28" s="54">
        <v>20</v>
      </c>
      <c r="B28" s="116" t="s">
        <v>23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27"/>
      <c r="I28" s="127"/>
      <c r="J28" s="127"/>
      <c r="K28" s="127"/>
      <c r="L28" s="127"/>
      <c r="M28" s="127"/>
    </row>
    <row r="29" spans="1:13" ht="12.75">
      <c r="A29" s="54">
        <v>21</v>
      </c>
      <c r="B29" s="116" t="s">
        <v>269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27"/>
      <c r="I29" s="127"/>
      <c r="J29" s="127"/>
      <c r="K29" s="127"/>
      <c r="L29" s="127"/>
      <c r="M29" s="127"/>
    </row>
    <row r="30" spans="1:13" ht="12.75">
      <c r="A30" s="54">
        <v>22</v>
      </c>
      <c r="B30" s="116" t="s">
        <v>169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27"/>
      <c r="I30" s="127"/>
      <c r="J30" s="127"/>
      <c r="K30" s="127"/>
      <c r="L30" s="127"/>
      <c r="M30" s="127"/>
    </row>
    <row r="31" spans="1:13" ht="12.75">
      <c r="A31" s="54">
        <v>23</v>
      </c>
      <c r="B31" s="116" t="s">
        <v>22</v>
      </c>
      <c r="C31" s="116">
        <v>0</v>
      </c>
      <c r="D31" s="116">
        <v>0</v>
      </c>
      <c r="E31" s="116">
        <v>0</v>
      </c>
      <c r="F31" s="116">
        <v>73</v>
      </c>
      <c r="G31" s="116">
        <v>0</v>
      </c>
      <c r="H31" s="127"/>
      <c r="I31" s="127"/>
      <c r="J31" s="127"/>
      <c r="K31" s="127"/>
      <c r="L31" s="127"/>
      <c r="M31" s="127"/>
    </row>
    <row r="32" spans="1:13" s="103" customFormat="1" ht="12.75">
      <c r="A32" s="54">
        <v>24</v>
      </c>
      <c r="B32" s="57" t="s">
        <v>141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22"/>
      <c r="I32" s="22"/>
      <c r="J32" s="22"/>
      <c r="K32" s="22"/>
      <c r="L32" s="22"/>
      <c r="M32" s="22"/>
    </row>
    <row r="33" spans="1:13" ht="12.75">
      <c r="A33" s="54">
        <v>25</v>
      </c>
      <c r="B33" s="116" t="s">
        <v>18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27"/>
      <c r="I33" s="127"/>
      <c r="J33" s="127"/>
      <c r="K33" s="127"/>
      <c r="L33" s="127"/>
      <c r="M33" s="127"/>
    </row>
    <row r="34" spans="1:13" ht="12.75">
      <c r="A34" s="54">
        <v>26</v>
      </c>
      <c r="B34" s="116" t="s">
        <v>104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27"/>
      <c r="I34" s="127"/>
      <c r="J34" s="127"/>
      <c r="K34" s="127"/>
      <c r="L34" s="127"/>
      <c r="M34" s="127"/>
    </row>
    <row r="35" spans="1:13" s="334" customFormat="1" ht="14.25">
      <c r="A35" s="325"/>
      <c r="B35" s="326" t="s">
        <v>226</v>
      </c>
      <c r="C35" s="326">
        <f>SUM(C28:C34)</f>
        <v>0</v>
      </c>
      <c r="D35" s="326">
        <f>SUM(D28:D34)</f>
        <v>0</v>
      </c>
      <c r="E35" s="326">
        <f>SUM(E28:E34)</f>
        <v>0</v>
      </c>
      <c r="F35" s="326">
        <f>SUM(F28:F34)</f>
        <v>73</v>
      </c>
      <c r="G35" s="326">
        <f>SUM(G28:G34)</f>
        <v>0</v>
      </c>
      <c r="H35" s="377"/>
      <c r="I35" s="377"/>
      <c r="J35" s="377"/>
      <c r="K35" s="377"/>
      <c r="L35" s="377"/>
      <c r="M35" s="377"/>
    </row>
    <row r="36" spans="1:13" ht="12.75">
      <c r="A36" s="54">
        <v>27</v>
      </c>
      <c r="B36" s="116" t="s">
        <v>163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27"/>
      <c r="I36" s="127"/>
      <c r="J36" s="127"/>
      <c r="K36" s="127"/>
      <c r="L36" s="127"/>
      <c r="M36" s="127"/>
    </row>
    <row r="37" spans="1:13" s="103" customFormat="1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22"/>
      <c r="I37" s="22"/>
      <c r="J37" s="22"/>
      <c r="K37" s="22"/>
      <c r="L37" s="22"/>
      <c r="M37" s="22"/>
    </row>
    <row r="38" spans="1:13" ht="12.75">
      <c r="A38" s="54">
        <v>29</v>
      </c>
      <c r="B38" s="116" t="s">
        <v>218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27"/>
      <c r="I38" s="127"/>
      <c r="J38" s="127"/>
      <c r="K38" s="127"/>
      <c r="L38" s="127"/>
      <c r="M38" s="127"/>
    </row>
    <row r="39" spans="1:13" ht="12.75">
      <c r="A39" s="54">
        <v>30</v>
      </c>
      <c r="B39" s="116" t="s">
        <v>236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27"/>
      <c r="I39" s="127"/>
      <c r="J39" s="127"/>
      <c r="K39" s="127"/>
      <c r="L39" s="127"/>
      <c r="M39" s="127"/>
    </row>
    <row r="40" spans="1:13" s="103" customFormat="1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22"/>
      <c r="I40" s="22"/>
      <c r="J40" s="22"/>
      <c r="K40" s="22"/>
      <c r="L40" s="22"/>
      <c r="M40" s="22"/>
    </row>
    <row r="41" spans="1:13" ht="12.75">
      <c r="A41" s="54">
        <v>32</v>
      </c>
      <c r="B41" s="116" t="s">
        <v>254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27"/>
      <c r="I41" s="127"/>
      <c r="J41" s="127"/>
      <c r="K41" s="127"/>
      <c r="L41" s="127"/>
      <c r="M41" s="127"/>
    </row>
    <row r="42" spans="1:13" ht="12.75">
      <c r="A42" s="110">
        <v>33</v>
      </c>
      <c r="B42" s="116" t="s">
        <v>242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27"/>
      <c r="I42" s="127"/>
      <c r="J42" s="127"/>
      <c r="K42" s="127"/>
      <c r="L42" s="127"/>
      <c r="M42" s="127"/>
    </row>
    <row r="43" spans="1:13" s="103" customFormat="1" ht="12.75">
      <c r="A43" s="54">
        <v>34</v>
      </c>
      <c r="B43" s="57" t="s">
        <v>256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22"/>
      <c r="I43" s="22"/>
      <c r="J43" s="22"/>
      <c r="K43" s="22"/>
      <c r="L43" s="22"/>
      <c r="M43" s="22"/>
    </row>
    <row r="44" spans="1:13" ht="12.75">
      <c r="A44" s="54">
        <v>35</v>
      </c>
      <c r="B44" s="116" t="s">
        <v>24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27"/>
      <c r="I44" s="127"/>
      <c r="J44" s="127"/>
      <c r="K44" s="127"/>
      <c r="L44" s="127"/>
      <c r="M44" s="127"/>
    </row>
    <row r="45" spans="1:13" ht="12.75">
      <c r="A45" s="54">
        <v>36</v>
      </c>
      <c r="B45" s="116" t="s">
        <v>223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27"/>
      <c r="I45" s="127"/>
      <c r="J45" s="127"/>
      <c r="K45" s="127"/>
      <c r="L45" s="127"/>
      <c r="M45" s="127"/>
    </row>
    <row r="46" spans="1:13" ht="12.75">
      <c r="A46" s="54">
        <v>37</v>
      </c>
      <c r="B46" s="116" t="s">
        <v>366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27"/>
      <c r="I46" s="127"/>
      <c r="J46" s="127"/>
      <c r="K46" s="127"/>
      <c r="L46" s="127"/>
      <c r="M46" s="127"/>
    </row>
    <row r="47" spans="1:13" ht="12.75">
      <c r="A47" s="54">
        <v>38</v>
      </c>
      <c r="B47" s="116" t="s">
        <v>359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27"/>
      <c r="I47" s="127"/>
      <c r="J47" s="127"/>
      <c r="K47" s="127"/>
      <c r="L47" s="127"/>
      <c r="M47" s="127"/>
    </row>
    <row r="48" spans="1:13" ht="12.75">
      <c r="A48" s="54"/>
      <c r="B48" s="117" t="s">
        <v>395</v>
      </c>
      <c r="C48" s="121">
        <f>SUM(C36:C47)</f>
        <v>0</v>
      </c>
      <c r="D48" s="121">
        <f>SUM(D36:D47)</f>
        <v>0</v>
      </c>
      <c r="E48" s="121">
        <f>SUM(E36:E47)</f>
        <v>0</v>
      </c>
      <c r="F48" s="121">
        <f>SUM(F36:F47)</f>
        <v>0</v>
      </c>
      <c r="G48" s="121">
        <f>SUM(G36:G47)</f>
        <v>0</v>
      </c>
      <c r="H48" s="127"/>
      <c r="I48" s="127"/>
      <c r="J48" s="127"/>
      <c r="K48" s="127"/>
      <c r="L48" s="127"/>
      <c r="M48" s="127"/>
    </row>
    <row r="49" spans="1:7" s="334" customFormat="1" ht="14.25">
      <c r="A49" s="325"/>
      <c r="B49" s="328" t="s">
        <v>35</v>
      </c>
      <c r="C49" s="326">
        <f>C27+C35+C45+C48</f>
        <v>2914</v>
      </c>
      <c r="D49" s="326">
        <f>D27+D35+D45+D48</f>
        <v>2566</v>
      </c>
      <c r="E49" s="326">
        <f>E27+E35+E45+E48</f>
        <v>6916</v>
      </c>
      <c r="F49" s="326">
        <f>F27+F35+F45+F48</f>
        <v>73</v>
      </c>
      <c r="G49" s="326">
        <f>G27+G35+G45+G48</f>
        <v>0</v>
      </c>
    </row>
    <row r="52" spans="3:4" ht="12.75">
      <c r="C52" s="291">
        <v>22</v>
      </c>
      <c r="D52" s="291" t="s">
        <v>413</v>
      </c>
    </row>
    <row r="53" ht="12.75">
      <c r="C53" s="127">
        <v>22</v>
      </c>
    </row>
  </sheetData>
  <sheetProtection/>
  <mergeCells count="2">
    <mergeCell ref="C4:E4"/>
    <mergeCell ref="F4:G4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5" r:id="rId2"/>
  <headerFooter alignWithMargins="0">
    <oddFooter>&amp;C&amp;"Arial,Bold"*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4">
      <selection activeCell="J55" sqref="J55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2.140625" style="22" customWidth="1"/>
    <col min="4" max="4" width="12.00390625" style="22" customWidth="1"/>
    <col min="5" max="5" width="13.57421875" style="22" customWidth="1"/>
    <col min="6" max="6" width="12.8515625" style="22" customWidth="1"/>
    <col min="7" max="7" width="11.8515625" style="22" customWidth="1"/>
    <col min="8" max="8" width="12.421875" style="22" customWidth="1"/>
    <col min="9" max="9" width="12.28125" style="22" customWidth="1"/>
    <col min="10" max="10" width="12.8515625" style="22" customWidth="1"/>
    <col min="11" max="11" width="9.57421875" style="0" bestFit="1" customWidth="1"/>
    <col min="13" max="13" width="9.57421875" style="0" bestFit="1" customWidth="1"/>
  </cols>
  <sheetData>
    <row r="1" spans="1:10" ht="15" customHeight="1">
      <c r="A1" s="2"/>
      <c r="B1" s="2"/>
      <c r="C1" s="23"/>
      <c r="D1" s="192"/>
      <c r="E1" s="23"/>
      <c r="F1" s="192"/>
      <c r="G1" s="23"/>
      <c r="H1" s="192"/>
      <c r="I1" s="192"/>
      <c r="J1" s="192"/>
    </row>
    <row r="2" spans="1:12" ht="12.75">
      <c r="A2" s="2"/>
      <c r="B2" s="2"/>
      <c r="C2" s="23"/>
      <c r="D2" s="192"/>
      <c r="E2" s="23"/>
      <c r="F2" s="192"/>
      <c r="G2" s="23"/>
      <c r="H2" s="192"/>
      <c r="I2" s="192"/>
      <c r="J2" s="192"/>
      <c r="K2" s="2"/>
      <c r="L2" s="2"/>
    </row>
    <row r="3" spans="1:12" ht="12.75">
      <c r="A3" s="2"/>
      <c r="B3" s="2"/>
      <c r="C3" s="23"/>
      <c r="D3" s="192"/>
      <c r="E3" s="23"/>
      <c r="F3" s="192"/>
      <c r="G3" s="23"/>
      <c r="H3" s="192"/>
      <c r="I3" s="192"/>
      <c r="J3" s="192"/>
      <c r="K3" s="2"/>
      <c r="L3" s="2"/>
    </row>
    <row r="4" spans="1:12" ht="12.75">
      <c r="A4" s="25"/>
      <c r="B4" s="25"/>
      <c r="C4" s="179"/>
      <c r="D4" s="403"/>
      <c r="E4" s="626"/>
      <c r="F4" s="627"/>
      <c r="G4" s="180"/>
      <c r="H4" s="403"/>
      <c r="I4" s="404"/>
      <c r="J4" s="403"/>
      <c r="K4" s="2"/>
      <c r="L4" s="2"/>
    </row>
    <row r="5" spans="1:12" ht="12.75">
      <c r="A5" s="44" t="s">
        <v>4</v>
      </c>
      <c r="B5" s="44" t="s">
        <v>5</v>
      </c>
      <c r="C5" s="628" t="s">
        <v>40</v>
      </c>
      <c r="D5" s="629"/>
      <c r="E5" s="630" t="s">
        <v>45</v>
      </c>
      <c r="F5" s="629"/>
      <c r="G5" s="630" t="s">
        <v>46</v>
      </c>
      <c r="H5" s="629"/>
      <c r="I5" s="631" t="s">
        <v>47</v>
      </c>
      <c r="J5" s="632"/>
      <c r="K5" s="5"/>
      <c r="L5" s="5"/>
    </row>
    <row r="6" spans="1:12" ht="12.75">
      <c r="A6" s="47" t="s">
        <v>6</v>
      </c>
      <c r="B6" s="47"/>
      <c r="C6" s="181" t="s">
        <v>422</v>
      </c>
      <c r="D6" s="407" t="s">
        <v>429</v>
      </c>
      <c r="E6" s="181" t="s">
        <v>422</v>
      </c>
      <c r="F6" s="407" t="s">
        <v>429</v>
      </c>
      <c r="G6" s="181" t="s">
        <v>422</v>
      </c>
      <c r="H6" s="407" t="s">
        <v>429</v>
      </c>
      <c r="I6" s="407" t="s">
        <v>422</v>
      </c>
      <c r="J6" s="407" t="s">
        <v>429</v>
      </c>
      <c r="K6" s="2"/>
      <c r="L6" s="2"/>
    </row>
    <row r="7" spans="1:14" ht="12.75">
      <c r="A7" s="50">
        <v>1</v>
      </c>
      <c r="B7" s="51" t="s">
        <v>7</v>
      </c>
      <c r="C7" s="57">
        <v>155</v>
      </c>
      <c r="D7" s="190">
        <f>'TABLE-1'!F6</f>
        <v>155</v>
      </c>
      <c r="E7" s="182">
        <v>379020</v>
      </c>
      <c r="F7" s="408">
        <f>'TABLE-2'!D6+'TABLE-2'!E6+'TABLE-2'!F6</f>
        <v>415275</v>
      </c>
      <c r="G7" s="182">
        <v>199263</v>
      </c>
      <c r="H7" s="408">
        <f>'TABLE-2'!G6+'TABLE-2'!H6+'TABLE-2'!I6</f>
        <v>209688</v>
      </c>
      <c r="I7" s="408">
        <f>(G7/E7)*100</f>
        <v>52.57321513376603</v>
      </c>
      <c r="J7" s="408">
        <f>(H7/F7)*100</f>
        <v>50.493769189091566</v>
      </c>
      <c r="K7" s="7"/>
      <c r="L7" s="7"/>
      <c r="M7" s="7"/>
      <c r="N7" s="7"/>
    </row>
    <row r="8" spans="1:14" ht="12.75">
      <c r="A8" s="50">
        <v>2</v>
      </c>
      <c r="B8" s="51" t="s">
        <v>8</v>
      </c>
      <c r="C8" s="57">
        <v>8</v>
      </c>
      <c r="D8" s="190">
        <f>'TABLE-1'!F7</f>
        <v>14</v>
      </c>
      <c r="E8" s="182">
        <v>28544</v>
      </c>
      <c r="F8" s="408">
        <f>'TABLE-2'!D7+'TABLE-2'!E7+'TABLE-2'!F7</f>
        <v>29549</v>
      </c>
      <c r="G8" s="182">
        <v>8629</v>
      </c>
      <c r="H8" s="408">
        <f>'TABLE-2'!G7+'TABLE-2'!H7+'TABLE-2'!I7</f>
        <v>9265</v>
      </c>
      <c r="I8" s="408">
        <f aca="true" t="shared" si="0" ref="I8:I25">(G8/E8)*100</f>
        <v>30.23052130044843</v>
      </c>
      <c r="J8" s="408">
        <f aca="true" t="shared" si="1" ref="J8:J47">(H8/F8)*100</f>
        <v>31.35469897458459</v>
      </c>
      <c r="K8" s="7"/>
      <c r="L8" s="7"/>
      <c r="M8" s="7"/>
      <c r="N8" s="7"/>
    </row>
    <row r="9" spans="1:14" ht="12.75">
      <c r="A9" s="50">
        <v>3</v>
      </c>
      <c r="B9" s="51" t="s">
        <v>9</v>
      </c>
      <c r="C9" s="57">
        <v>73</v>
      </c>
      <c r="D9" s="190">
        <f>'TABLE-1'!F8</f>
        <v>78</v>
      </c>
      <c r="E9" s="182">
        <v>247639</v>
      </c>
      <c r="F9" s="408">
        <f>'TABLE-2'!D8+'TABLE-2'!E8+'TABLE-2'!F8</f>
        <v>305845</v>
      </c>
      <c r="G9" s="182">
        <v>189506</v>
      </c>
      <c r="H9" s="408">
        <f>'TABLE-2'!G8+'TABLE-2'!H8+'TABLE-2'!I8</f>
        <v>161016</v>
      </c>
      <c r="I9" s="408">
        <f t="shared" si="0"/>
        <v>76.52510307342543</v>
      </c>
      <c r="J9" s="408">
        <f t="shared" si="1"/>
        <v>52.64627507397538</v>
      </c>
      <c r="K9" s="7"/>
      <c r="L9" s="7"/>
      <c r="M9" s="7"/>
      <c r="N9" s="7"/>
    </row>
    <row r="10" spans="1:14" ht="12.75">
      <c r="A10" s="50">
        <v>4</v>
      </c>
      <c r="B10" s="51" t="s">
        <v>10</v>
      </c>
      <c r="C10" s="57">
        <v>270</v>
      </c>
      <c r="D10" s="190">
        <f>'TABLE-1'!F9</f>
        <v>272</v>
      </c>
      <c r="E10" s="182">
        <v>673760</v>
      </c>
      <c r="F10" s="408">
        <f>'TABLE-2'!D9+'TABLE-2'!E9+'TABLE-2'!F9</f>
        <v>703545</v>
      </c>
      <c r="G10" s="182">
        <v>459790</v>
      </c>
      <c r="H10" s="408">
        <f>'TABLE-2'!G9+'TABLE-2'!H9+'TABLE-2'!I9</f>
        <v>513630</v>
      </c>
      <c r="I10" s="408">
        <f t="shared" si="0"/>
        <v>68.24240085490383</v>
      </c>
      <c r="J10" s="408">
        <f t="shared" si="1"/>
        <v>73.00599108799011</v>
      </c>
      <c r="K10" s="7"/>
      <c r="L10" s="7"/>
      <c r="M10" s="7"/>
      <c r="N10" s="7"/>
    </row>
    <row r="11" spans="1:14" ht="12.75">
      <c r="A11" s="50">
        <v>5</v>
      </c>
      <c r="B11" s="51" t="s">
        <v>11</v>
      </c>
      <c r="C11" s="57">
        <v>113</v>
      </c>
      <c r="D11" s="190">
        <f>'TABLE-1'!F10</f>
        <v>114</v>
      </c>
      <c r="E11" s="182">
        <v>169791</v>
      </c>
      <c r="F11" s="408">
        <f>'TABLE-2'!D10+'TABLE-2'!E10+'TABLE-2'!F10</f>
        <v>174035</v>
      </c>
      <c r="G11" s="182">
        <v>73792</v>
      </c>
      <c r="H11" s="408">
        <f>'TABLE-2'!G10+'TABLE-2'!H10+'TABLE-2'!I10</f>
        <v>77507</v>
      </c>
      <c r="I11" s="408">
        <f t="shared" si="0"/>
        <v>43.460489660818304</v>
      </c>
      <c r="J11" s="408">
        <f t="shared" si="1"/>
        <v>44.535294624644465</v>
      </c>
      <c r="K11" s="7"/>
      <c r="L11" s="7"/>
      <c r="M11" s="7"/>
      <c r="N11" s="7"/>
    </row>
    <row r="12" spans="1:14" ht="12.75">
      <c r="A12" s="50">
        <v>6</v>
      </c>
      <c r="B12" s="51" t="s">
        <v>12</v>
      </c>
      <c r="C12" s="57">
        <v>45</v>
      </c>
      <c r="D12" s="190">
        <f>'TABLE-1'!F11</f>
        <v>51</v>
      </c>
      <c r="E12" s="182">
        <v>128448</v>
      </c>
      <c r="F12" s="408">
        <f>'TABLE-2'!D11+'TABLE-2'!E11+'TABLE-2'!F11</f>
        <v>142313</v>
      </c>
      <c r="G12" s="182">
        <v>60504</v>
      </c>
      <c r="H12" s="408">
        <f>'TABLE-2'!G11+'TABLE-2'!H11+'TABLE-2'!I11</f>
        <v>74755</v>
      </c>
      <c r="I12" s="408">
        <f t="shared" si="0"/>
        <v>47.10388639760837</v>
      </c>
      <c r="J12" s="408">
        <f t="shared" si="1"/>
        <v>52.52858136642471</v>
      </c>
      <c r="K12" s="7"/>
      <c r="L12" s="7"/>
      <c r="M12" s="7"/>
      <c r="N12" s="7"/>
    </row>
    <row r="13" spans="1:14" s="103" customFormat="1" ht="12.75">
      <c r="A13" s="54">
        <v>7</v>
      </c>
      <c r="B13" s="57" t="s">
        <v>13</v>
      </c>
      <c r="C13" s="57">
        <v>375</v>
      </c>
      <c r="D13" s="190">
        <f>'TABLE-1'!F12</f>
        <v>376</v>
      </c>
      <c r="E13" s="182">
        <v>753894</v>
      </c>
      <c r="F13" s="408">
        <f>'TABLE-2'!D12+'TABLE-2'!E12+'TABLE-2'!F12</f>
        <v>820331</v>
      </c>
      <c r="G13" s="182">
        <v>447519</v>
      </c>
      <c r="H13" s="408">
        <f>'TABLE-2'!G12+'TABLE-2'!H12+'TABLE-2'!I12</f>
        <v>485588</v>
      </c>
      <c r="I13" s="408">
        <f t="shared" si="0"/>
        <v>59.3609976999419</v>
      </c>
      <c r="J13" s="408">
        <f t="shared" si="1"/>
        <v>59.19415455468585</v>
      </c>
      <c r="K13" s="19"/>
      <c r="L13" s="19"/>
      <c r="M13" s="19"/>
      <c r="N13" s="19"/>
    </row>
    <row r="14" spans="1:14" s="103" customFormat="1" ht="12.75">
      <c r="A14" s="54">
        <v>8</v>
      </c>
      <c r="B14" s="57" t="s">
        <v>162</v>
      </c>
      <c r="C14" s="57">
        <v>17</v>
      </c>
      <c r="D14" s="190">
        <f>'TABLE-1'!F13</f>
        <v>17</v>
      </c>
      <c r="E14" s="182">
        <v>30994</v>
      </c>
      <c r="F14" s="408">
        <f>'TABLE-2'!D13+'TABLE-2'!E13+'TABLE-2'!F13</f>
        <v>65357</v>
      </c>
      <c r="G14" s="182">
        <v>8245</v>
      </c>
      <c r="H14" s="408">
        <f>'TABLE-2'!G13+'TABLE-2'!H13+'TABLE-2'!I13</f>
        <v>10298</v>
      </c>
      <c r="I14" s="408">
        <f t="shared" si="0"/>
        <v>26.601922952829582</v>
      </c>
      <c r="J14" s="408">
        <f t="shared" si="1"/>
        <v>15.756537172758847</v>
      </c>
      <c r="K14" s="19"/>
      <c r="L14" s="19"/>
      <c r="M14" s="19"/>
      <c r="N14" s="19"/>
    </row>
    <row r="15" spans="1:14" s="103" customFormat="1" ht="12.75">
      <c r="A15" s="54">
        <v>9</v>
      </c>
      <c r="B15" s="57" t="s">
        <v>14</v>
      </c>
      <c r="C15" s="57">
        <v>36</v>
      </c>
      <c r="D15" s="190">
        <f>'TABLE-1'!F14</f>
        <v>37</v>
      </c>
      <c r="E15" s="182">
        <v>132691</v>
      </c>
      <c r="F15" s="408">
        <f>'TABLE-2'!D14+'TABLE-2'!E14+'TABLE-2'!F14</f>
        <v>145833</v>
      </c>
      <c r="G15" s="182">
        <v>105730</v>
      </c>
      <c r="H15" s="408">
        <f>'TABLE-2'!G14+'TABLE-2'!H14+'TABLE-2'!I14</f>
        <v>123249</v>
      </c>
      <c r="I15" s="408">
        <f t="shared" si="0"/>
        <v>79.68136497577078</v>
      </c>
      <c r="J15" s="408">
        <f t="shared" si="1"/>
        <v>84.5137931743844</v>
      </c>
      <c r="K15" s="19"/>
      <c r="L15" s="19"/>
      <c r="M15" s="19"/>
      <c r="N15" s="19"/>
    </row>
    <row r="16" spans="1:14" s="103" customFormat="1" ht="12.75">
      <c r="A16" s="54">
        <v>10</v>
      </c>
      <c r="B16" s="57" t="s">
        <v>15</v>
      </c>
      <c r="C16" s="57">
        <v>10</v>
      </c>
      <c r="D16" s="190">
        <f>'TABLE-1'!F15</f>
        <v>16</v>
      </c>
      <c r="E16" s="182">
        <v>21449</v>
      </c>
      <c r="F16" s="408">
        <f>'TABLE-2'!D15+'TABLE-2'!E15+'TABLE-2'!F15</f>
        <v>20224</v>
      </c>
      <c r="G16" s="182">
        <v>9162</v>
      </c>
      <c r="H16" s="408">
        <f>'TABLE-2'!G15+'TABLE-2'!H15+'TABLE-2'!I15</f>
        <v>6957</v>
      </c>
      <c r="I16" s="408">
        <f t="shared" si="0"/>
        <v>42.7152781015432</v>
      </c>
      <c r="J16" s="408">
        <f t="shared" si="1"/>
        <v>34.39972310126582</v>
      </c>
      <c r="K16" s="19"/>
      <c r="L16" s="19"/>
      <c r="M16" s="19"/>
      <c r="N16" s="19"/>
    </row>
    <row r="17" spans="1:14" s="103" customFormat="1" ht="12.75">
      <c r="A17" s="54">
        <v>11</v>
      </c>
      <c r="B17" s="57" t="s">
        <v>16</v>
      </c>
      <c r="C17" s="57">
        <v>14</v>
      </c>
      <c r="D17" s="190">
        <f>'TABLE-1'!F16</f>
        <v>19</v>
      </c>
      <c r="E17" s="182">
        <v>42042</v>
      </c>
      <c r="F17" s="408">
        <f>'TABLE-2'!D16+'TABLE-2'!E16+'TABLE-2'!F16</f>
        <v>34195</v>
      </c>
      <c r="G17" s="182">
        <v>11512</v>
      </c>
      <c r="H17" s="408">
        <f>'TABLE-2'!G16+'TABLE-2'!H16+'TABLE-2'!I16</f>
        <v>12215</v>
      </c>
      <c r="I17" s="408">
        <f t="shared" si="0"/>
        <v>27.382141667855954</v>
      </c>
      <c r="J17" s="408">
        <f t="shared" si="1"/>
        <v>35.72159672466735</v>
      </c>
      <c r="K17" s="19"/>
      <c r="L17" s="19"/>
      <c r="M17" s="19"/>
      <c r="N17" s="19"/>
    </row>
    <row r="18" spans="1:14" s="103" customFormat="1" ht="12.75">
      <c r="A18" s="54">
        <v>12</v>
      </c>
      <c r="B18" s="57" t="s">
        <v>17</v>
      </c>
      <c r="C18" s="57">
        <v>48</v>
      </c>
      <c r="D18" s="190">
        <f>'TABLE-1'!F17</f>
        <v>48</v>
      </c>
      <c r="E18" s="182">
        <v>213124</v>
      </c>
      <c r="F18" s="408">
        <f>'TABLE-2'!D17+'TABLE-2'!E17+'TABLE-2'!F17</f>
        <v>232115</v>
      </c>
      <c r="G18" s="182">
        <v>87462</v>
      </c>
      <c r="H18" s="408">
        <f>'TABLE-2'!G17+'TABLE-2'!H17+'TABLE-2'!I17</f>
        <v>99924</v>
      </c>
      <c r="I18" s="408">
        <f t="shared" si="0"/>
        <v>41.03808111709615</v>
      </c>
      <c r="J18" s="408">
        <f t="shared" si="1"/>
        <v>43.04935053744911</v>
      </c>
      <c r="K18" s="19"/>
      <c r="L18" s="19"/>
      <c r="M18" s="19"/>
      <c r="N18" s="19"/>
    </row>
    <row r="19" spans="1:14" s="103" customFormat="1" ht="12.75">
      <c r="A19" s="54">
        <v>13</v>
      </c>
      <c r="B19" s="57" t="s">
        <v>164</v>
      </c>
      <c r="C19" s="57">
        <v>26</v>
      </c>
      <c r="D19" s="190">
        <f>'TABLE-1'!F18</f>
        <v>26</v>
      </c>
      <c r="E19" s="182">
        <v>55728</v>
      </c>
      <c r="F19" s="408">
        <f>'TABLE-2'!D18+'TABLE-2'!E18+'TABLE-2'!F18</f>
        <v>74010</v>
      </c>
      <c r="G19" s="182">
        <v>27769</v>
      </c>
      <c r="H19" s="408">
        <f>'TABLE-2'!G18+'TABLE-2'!H18+'TABLE-2'!I18</f>
        <v>29995</v>
      </c>
      <c r="I19" s="408">
        <f t="shared" si="0"/>
        <v>49.82952914154464</v>
      </c>
      <c r="J19" s="408">
        <f t="shared" si="1"/>
        <v>40.52830698554249</v>
      </c>
      <c r="K19" s="19"/>
      <c r="L19" s="19"/>
      <c r="M19" s="19"/>
      <c r="N19" s="19"/>
    </row>
    <row r="20" spans="1:14" s="103" customFormat="1" ht="12.75">
      <c r="A20" s="54">
        <v>14</v>
      </c>
      <c r="B20" s="57" t="s">
        <v>77</v>
      </c>
      <c r="C20" s="57">
        <v>167</v>
      </c>
      <c r="D20" s="190">
        <f>'TABLE-1'!F19</f>
        <v>178</v>
      </c>
      <c r="E20" s="182">
        <v>495945</v>
      </c>
      <c r="F20" s="408">
        <f>'TABLE-2'!D19+'TABLE-2'!E19+'TABLE-2'!F19</f>
        <v>565812</v>
      </c>
      <c r="G20" s="182">
        <v>302235</v>
      </c>
      <c r="H20" s="408">
        <f>'TABLE-2'!G19+'TABLE-2'!H19+'TABLE-2'!I19</f>
        <v>339780</v>
      </c>
      <c r="I20" s="408">
        <f t="shared" si="0"/>
        <v>60.941233402897495</v>
      </c>
      <c r="J20" s="408">
        <f t="shared" si="1"/>
        <v>60.051748637356575</v>
      </c>
      <c r="K20" s="19"/>
      <c r="L20" s="19"/>
      <c r="M20" s="19"/>
      <c r="N20" s="19"/>
    </row>
    <row r="21" spans="1:14" s="103" customFormat="1" ht="12.75">
      <c r="A21" s="54">
        <v>15</v>
      </c>
      <c r="B21" s="57" t="s">
        <v>105</v>
      </c>
      <c r="C21" s="57">
        <v>47</v>
      </c>
      <c r="D21" s="190">
        <f>'TABLE-1'!F20</f>
        <v>49</v>
      </c>
      <c r="E21" s="182">
        <v>66695</v>
      </c>
      <c r="F21" s="408">
        <f>'TABLE-2'!D20+'TABLE-2'!E20+'TABLE-2'!F20</f>
        <v>125240</v>
      </c>
      <c r="G21" s="182">
        <v>38645</v>
      </c>
      <c r="H21" s="408">
        <f>'TABLE-2'!G20+'TABLE-2'!H20+'TABLE-2'!I20</f>
        <v>40345</v>
      </c>
      <c r="I21" s="408">
        <f t="shared" si="0"/>
        <v>57.94287427843167</v>
      </c>
      <c r="J21" s="408">
        <f t="shared" si="1"/>
        <v>32.21414883423826</v>
      </c>
      <c r="K21" s="19"/>
      <c r="L21" s="19"/>
      <c r="M21" s="19"/>
      <c r="N21" s="19"/>
    </row>
    <row r="22" spans="1:14" s="103" customFormat="1" ht="12.75">
      <c r="A22" s="54">
        <v>16</v>
      </c>
      <c r="B22" s="57" t="s">
        <v>20</v>
      </c>
      <c r="C22" s="57">
        <v>109</v>
      </c>
      <c r="D22" s="190">
        <f>'TABLE-1'!F21</f>
        <v>109</v>
      </c>
      <c r="E22" s="182">
        <v>314352</v>
      </c>
      <c r="F22" s="408">
        <f>'TABLE-2'!D21+'TABLE-2'!E21+'TABLE-2'!F21</f>
        <v>328222</v>
      </c>
      <c r="G22" s="182">
        <v>211623</v>
      </c>
      <c r="H22" s="408">
        <f>'TABLE-2'!G21+'TABLE-2'!H21+'TABLE-2'!I21</f>
        <v>219321</v>
      </c>
      <c r="I22" s="408">
        <f t="shared" si="0"/>
        <v>67.32039242632463</v>
      </c>
      <c r="J22" s="408">
        <f t="shared" si="1"/>
        <v>66.82093217395543</v>
      </c>
      <c r="K22" s="19"/>
      <c r="L22" s="19"/>
      <c r="M22" s="19"/>
      <c r="N22" s="19"/>
    </row>
    <row r="23" spans="1:14" s="103" customFormat="1" ht="12.75">
      <c r="A23" s="54">
        <v>17</v>
      </c>
      <c r="B23" s="57" t="s">
        <v>21</v>
      </c>
      <c r="C23" s="57">
        <v>177</v>
      </c>
      <c r="D23" s="190">
        <f>'TABLE-1'!F22</f>
        <v>195</v>
      </c>
      <c r="E23" s="182">
        <v>746234</v>
      </c>
      <c r="F23" s="408">
        <f>'TABLE-2'!D22+'TABLE-2'!E22+'TABLE-2'!F22</f>
        <v>746249</v>
      </c>
      <c r="G23" s="182">
        <v>241111</v>
      </c>
      <c r="H23" s="408">
        <f>'TABLE-2'!G22+'TABLE-2'!H22+'TABLE-2'!I22</f>
        <v>237031</v>
      </c>
      <c r="I23" s="408">
        <f t="shared" si="0"/>
        <v>32.31037449379149</v>
      </c>
      <c r="J23" s="408">
        <f t="shared" si="1"/>
        <v>31.76299063717338</v>
      </c>
      <c r="K23" s="19"/>
      <c r="L23" s="19"/>
      <c r="M23" s="19"/>
      <c r="N23" s="19"/>
    </row>
    <row r="24" spans="1:14" s="103" customFormat="1" ht="12.75">
      <c r="A24" s="54">
        <v>18</v>
      </c>
      <c r="B24" s="57" t="s">
        <v>19</v>
      </c>
      <c r="C24" s="57">
        <v>10</v>
      </c>
      <c r="D24" s="190">
        <f>'TABLE-1'!F23</f>
        <v>10</v>
      </c>
      <c r="E24" s="182">
        <v>8615</v>
      </c>
      <c r="F24" s="408">
        <f>'TABLE-2'!D23+'TABLE-2'!E23+'TABLE-2'!F23</f>
        <v>9511</v>
      </c>
      <c r="G24" s="182">
        <v>9201</v>
      </c>
      <c r="H24" s="408">
        <f>'TABLE-2'!G23+'TABLE-2'!H23+'TABLE-2'!I23</f>
        <v>8906</v>
      </c>
      <c r="I24" s="408">
        <f t="shared" si="0"/>
        <v>106.80208937899013</v>
      </c>
      <c r="J24" s="408">
        <f t="shared" si="1"/>
        <v>93.63894438019136</v>
      </c>
      <c r="K24" s="19"/>
      <c r="L24" s="19"/>
      <c r="M24" s="19"/>
      <c r="N24" s="19"/>
    </row>
    <row r="25" spans="1:14" s="103" customFormat="1" ht="12.75">
      <c r="A25" s="54">
        <v>19</v>
      </c>
      <c r="B25" s="57" t="s">
        <v>124</v>
      </c>
      <c r="C25" s="57">
        <v>12</v>
      </c>
      <c r="D25" s="190">
        <f>'TABLE-1'!F24</f>
        <v>13</v>
      </c>
      <c r="E25" s="182">
        <v>26420</v>
      </c>
      <c r="F25" s="408">
        <f>'TABLE-2'!D24+'TABLE-2'!E24+'TABLE-2'!F24</f>
        <v>29700</v>
      </c>
      <c r="G25" s="182">
        <v>10600</v>
      </c>
      <c r="H25" s="408">
        <f>'TABLE-2'!G24+'TABLE-2'!H24+'TABLE-2'!I24</f>
        <v>12882</v>
      </c>
      <c r="I25" s="408">
        <f t="shared" si="0"/>
        <v>40.12112036336109</v>
      </c>
      <c r="J25" s="408">
        <f t="shared" si="1"/>
        <v>43.37373737373738</v>
      </c>
      <c r="K25" s="19"/>
      <c r="L25" s="19"/>
      <c r="M25" s="19"/>
      <c r="N25" s="19"/>
    </row>
    <row r="26" spans="1:14" s="103" customFormat="1" ht="12.75">
      <c r="A26" s="187"/>
      <c r="B26" s="58" t="s">
        <v>224</v>
      </c>
      <c r="C26" s="58">
        <f aca="true" t="shared" si="2" ref="C26:H26">SUM(C7:C25)</f>
        <v>1712</v>
      </c>
      <c r="D26" s="249">
        <f>'TABLE-1'!F25</f>
        <v>1777</v>
      </c>
      <c r="E26" s="139">
        <f t="shared" si="2"/>
        <v>4535385</v>
      </c>
      <c r="F26" s="409">
        <f t="shared" si="2"/>
        <v>4967361</v>
      </c>
      <c r="G26" s="139">
        <f t="shared" si="2"/>
        <v>2502298</v>
      </c>
      <c r="H26" s="409">
        <f t="shared" si="2"/>
        <v>2672352</v>
      </c>
      <c r="I26" s="409">
        <f>(G26/E26)*100</f>
        <v>55.17278026011022</v>
      </c>
      <c r="J26" s="409">
        <f t="shared" si="1"/>
        <v>53.798224046933576</v>
      </c>
      <c r="K26" s="19"/>
      <c r="L26" s="19"/>
      <c r="M26" s="19"/>
      <c r="N26" s="19"/>
    </row>
    <row r="27" spans="1:14" s="103" customFormat="1" ht="12.75">
      <c r="A27" s="54">
        <v>20</v>
      </c>
      <c r="B27" s="57" t="s">
        <v>23</v>
      </c>
      <c r="C27" s="57">
        <v>4</v>
      </c>
      <c r="D27" s="190">
        <f>'TABLE-1'!F26</f>
        <v>4</v>
      </c>
      <c r="E27" s="182">
        <v>9928</v>
      </c>
      <c r="F27" s="408">
        <f>'TABLE-2'!D26+'TABLE-2'!E26+'TABLE-2'!F26</f>
        <v>11016</v>
      </c>
      <c r="G27" s="182">
        <v>16502</v>
      </c>
      <c r="H27" s="408">
        <f>'TABLE-2'!G26+'TABLE-2'!H26+'TABLE-2'!I26</f>
        <v>17797</v>
      </c>
      <c r="I27" s="408">
        <f>(G27/E27)*100</f>
        <v>166.2167606768735</v>
      </c>
      <c r="J27" s="408">
        <f t="shared" si="1"/>
        <v>161.5559186637618</v>
      </c>
      <c r="K27" s="19"/>
      <c r="L27" s="19"/>
      <c r="M27" s="19"/>
      <c r="N27" s="19"/>
    </row>
    <row r="28" spans="1:14" s="103" customFormat="1" ht="12.75">
      <c r="A28" s="54">
        <v>21</v>
      </c>
      <c r="B28" s="57" t="s">
        <v>269</v>
      </c>
      <c r="C28" s="57">
        <v>2</v>
      </c>
      <c r="D28" s="190">
        <f>'TABLE-1'!F27</f>
        <v>2</v>
      </c>
      <c r="E28" s="182">
        <v>10176</v>
      </c>
      <c r="F28" s="408">
        <f>'TABLE-2'!D27+'TABLE-2'!E27+'TABLE-2'!F27</f>
        <v>7808</v>
      </c>
      <c r="G28" s="182">
        <v>36501</v>
      </c>
      <c r="H28" s="408">
        <f>'TABLE-2'!G27+'TABLE-2'!H27+'TABLE-2'!I27</f>
        <v>38993</v>
      </c>
      <c r="I28" s="408">
        <f aca="true" t="shared" si="3" ref="I28:I33">(G28/E28)*100</f>
        <v>358.69693396226415</v>
      </c>
      <c r="J28" s="408">
        <f t="shared" si="1"/>
        <v>499.3980532786885</v>
      </c>
      <c r="K28" s="19"/>
      <c r="L28" s="19"/>
      <c r="M28" s="19"/>
      <c r="N28" s="19"/>
    </row>
    <row r="29" spans="1:14" s="103" customFormat="1" ht="12.75">
      <c r="A29" s="54">
        <v>22</v>
      </c>
      <c r="B29" s="57" t="s">
        <v>169</v>
      </c>
      <c r="C29" s="57">
        <v>6</v>
      </c>
      <c r="D29" s="190">
        <f>'TABLE-1'!F28</f>
        <v>6</v>
      </c>
      <c r="E29" s="182">
        <v>13571</v>
      </c>
      <c r="F29" s="408">
        <f>'TABLE-2'!D28+'TABLE-2'!E28+'TABLE-2'!F28</f>
        <v>17468</v>
      </c>
      <c r="G29" s="182">
        <v>23658</v>
      </c>
      <c r="H29" s="408">
        <f>'TABLE-2'!G28+'TABLE-2'!H28+'TABLE-2'!I28</f>
        <v>29348</v>
      </c>
      <c r="I29" s="408">
        <f t="shared" si="3"/>
        <v>174.32761034558985</v>
      </c>
      <c r="J29" s="408">
        <f t="shared" si="1"/>
        <v>168.01007556675063</v>
      </c>
      <c r="K29" s="19"/>
      <c r="L29" s="19"/>
      <c r="M29" s="19"/>
      <c r="N29" s="19"/>
    </row>
    <row r="30" spans="1:14" s="103" customFormat="1" ht="12.75">
      <c r="A30" s="54">
        <v>23</v>
      </c>
      <c r="B30" s="57" t="s">
        <v>22</v>
      </c>
      <c r="C30" s="57">
        <v>2</v>
      </c>
      <c r="D30" s="190">
        <f>'TABLE-1'!F29</f>
        <v>2</v>
      </c>
      <c r="E30" s="182">
        <v>11788</v>
      </c>
      <c r="F30" s="408">
        <f>'TABLE-2'!D29+'TABLE-2'!E29+'TABLE-2'!F29</f>
        <v>16862</v>
      </c>
      <c r="G30" s="182">
        <v>63261</v>
      </c>
      <c r="H30" s="408">
        <f>'TABLE-2'!G29+'TABLE-2'!H29+'TABLE-2'!I29</f>
        <v>87432</v>
      </c>
      <c r="I30" s="408">
        <f t="shared" si="3"/>
        <v>536.6559212758738</v>
      </c>
      <c r="J30" s="408">
        <f t="shared" si="1"/>
        <v>518.5150041513463</v>
      </c>
      <c r="K30" s="19"/>
      <c r="L30" s="19"/>
      <c r="M30" s="19"/>
      <c r="N30" s="19"/>
    </row>
    <row r="31" spans="1:14" s="103" customFormat="1" ht="12.75">
      <c r="A31" s="54">
        <v>24</v>
      </c>
      <c r="B31" s="57" t="s">
        <v>141</v>
      </c>
      <c r="C31" s="57">
        <v>8</v>
      </c>
      <c r="D31" s="190">
        <f>'TABLE-1'!F30</f>
        <v>8</v>
      </c>
      <c r="E31" s="182">
        <v>25942</v>
      </c>
      <c r="F31" s="408">
        <f>'TABLE-2'!D30+'TABLE-2'!E30+'TABLE-2'!F30</f>
        <v>30705</v>
      </c>
      <c r="G31" s="182">
        <v>22322</v>
      </c>
      <c r="H31" s="408">
        <f>'TABLE-2'!G30+'TABLE-2'!H30+'TABLE-2'!I30</f>
        <v>25927</v>
      </c>
      <c r="I31" s="408">
        <f t="shared" si="3"/>
        <v>86.04579446457483</v>
      </c>
      <c r="J31" s="408">
        <f t="shared" si="1"/>
        <v>84.43901644683277</v>
      </c>
      <c r="K31" s="19"/>
      <c r="L31" s="19"/>
      <c r="M31" s="19"/>
      <c r="N31" s="19"/>
    </row>
    <row r="32" spans="1:14" s="103" customFormat="1" ht="12.75">
      <c r="A32" s="54">
        <v>25</v>
      </c>
      <c r="B32" s="57" t="s">
        <v>18</v>
      </c>
      <c r="C32" s="57">
        <v>596</v>
      </c>
      <c r="D32" s="190">
        <f>'TABLE-1'!F31</f>
        <v>621</v>
      </c>
      <c r="E32" s="182">
        <v>2348260</v>
      </c>
      <c r="F32" s="408">
        <f>'TABLE-2'!D31+'TABLE-2'!E31+'TABLE-2'!F31</f>
        <v>2638437</v>
      </c>
      <c r="G32" s="182">
        <v>1549332</v>
      </c>
      <c r="H32" s="408">
        <f>'TABLE-2'!G31+'TABLE-2'!H31+'TABLE-2'!I31</f>
        <v>1835602</v>
      </c>
      <c r="I32" s="408">
        <f t="shared" si="3"/>
        <v>65.9778729782903</v>
      </c>
      <c r="J32" s="408">
        <f t="shared" si="1"/>
        <v>69.57156831866746</v>
      </c>
      <c r="K32" s="19"/>
      <c r="L32" s="19"/>
      <c r="M32" s="19"/>
      <c r="N32" s="19"/>
    </row>
    <row r="33" spans="1:14" s="103" customFormat="1" ht="12.75">
      <c r="A33" s="54">
        <v>26</v>
      </c>
      <c r="B33" s="57" t="s">
        <v>104</v>
      </c>
      <c r="C33" s="57">
        <v>358</v>
      </c>
      <c r="D33" s="190">
        <f>'TABLE-1'!F32</f>
        <v>360</v>
      </c>
      <c r="E33" s="182">
        <v>1533205</v>
      </c>
      <c r="F33" s="408">
        <f>'TABLE-2'!D32+'TABLE-2'!E32+'TABLE-2'!F32</f>
        <v>1657366</v>
      </c>
      <c r="G33" s="182">
        <v>722342</v>
      </c>
      <c r="H33" s="408">
        <f>'TABLE-2'!G32+'TABLE-2'!H32+'TABLE-2'!I32</f>
        <v>787466</v>
      </c>
      <c r="I33" s="408">
        <f t="shared" si="3"/>
        <v>47.11320403990334</v>
      </c>
      <c r="J33" s="408">
        <f t="shared" si="1"/>
        <v>47.513102115042784</v>
      </c>
      <c r="K33" s="19"/>
      <c r="L33" s="19"/>
      <c r="M33" s="19"/>
      <c r="N33" s="19"/>
    </row>
    <row r="34" spans="1:14" s="103" customFormat="1" ht="12.75">
      <c r="A34" s="54"/>
      <c r="B34" s="58" t="s">
        <v>226</v>
      </c>
      <c r="C34" s="58">
        <f aca="true" t="shared" si="4" ref="C34:H34">SUM(C27:C33)</f>
        <v>976</v>
      </c>
      <c r="D34" s="249">
        <f>'TABLE-1'!F33</f>
        <v>1003</v>
      </c>
      <c r="E34" s="139">
        <f t="shared" si="4"/>
        <v>3952870</v>
      </c>
      <c r="F34" s="409">
        <f t="shared" si="4"/>
        <v>4379662</v>
      </c>
      <c r="G34" s="139">
        <f t="shared" si="4"/>
        <v>2433918</v>
      </c>
      <c r="H34" s="409">
        <f t="shared" si="4"/>
        <v>2822565</v>
      </c>
      <c r="I34" s="409">
        <f>(G34/E34)*100</f>
        <v>61.573439045554245</v>
      </c>
      <c r="J34" s="409">
        <f>(H34/F34)*100</f>
        <v>64.44709660243187</v>
      </c>
      <c r="K34" s="19"/>
      <c r="L34" s="19"/>
      <c r="M34" s="19"/>
      <c r="N34" s="19"/>
    </row>
    <row r="35" spans="1:14" s="103" customFormat="1" ht="12.75">
      <c r="A35" s="54">
        <v>27</v>
      </c>
      <c r="B35" s="57" t="s">
        <v>163</v>
      </c>
      <c r="C35" s="57">
        <v>22</v>
      </c>
      <c r="D35" s="190">
        <f>'TABLE-1'!F34</f>
        <v>22</v>
      </c>
      <c r="E35" s="183">
        <v>77445</v>
      </c>
      <c r="F35" s="408">
        <f>'TABLE-2'!D34+'TABLE-2'!E34+'TABLE-2'!F34</f>
        <v>82348</v>
      </c>
      <c r="G35" s="182">
        <v>10921</v>
      </c>
      <c r="H35" s="408">
        <f>'TABLE-2'!G34+'TABLE-2'!H34+'TABLE-2'!I34</f>
        <v>10834</v>
      </c>
      <c r="I35" s="408">
        <f>(G35/E35)*100</f>
        <v>14.101620504874427</v>
      </c>
      <c r="J35" s="408">
        <f t="shared" si="1"/>
        <v>13.156360810220042</v>
      </c>
      <c r="K35" s="19"/>
      <c r="L35" s="19"/>
      <c r="M35" s="19"/>
      <c r="N35" s="19"/>
    </row>
    <row r="36" spans="1:14" s="103" customFormat="1" ht="12.75">
      <c r="A36" s="54">
        <v>28</v>
      </c>
      <c r="B36" s="57" t="s">
        <v>231</v>
      </c>
      <c r="C36" s="57">
        <v>37</v>
      </c>
      <c r="D36" s="190">
        <f>'TABLE-1'!F35</f>
        <v>52</v>
      </c>
      <c r="E36" s="182">
        <v>122988</v>
      </c>
      <c r="F36" s="408">
        <f>'TABLE-2'!D35+'TABLE-2'!E35+'TABLE-2'!F35</f>
        <v>140133</v>
      </c>
      <c r="G36" s="182">
        <v>140502</v>
      </c>
      <c r="H36" s="408">
        <f>'TABLE-2'!G35+'TABLE-2'!H35+'TABLE-2'!I35</f>
        <v>210141</v>
      </c>
      <c r="I36" s="408">
        <f>(G36/E36)*100</f>
        <v>114.24041369889746</v>
      </c>
      <c r="J36" s="408">
        <f t="shared" si="1"/>
        <v>149.95825394446706</v>
      </c>
      <c r="K36" s="19"/>
      <c r="L36" s="19"/>
      <c r="M36" s="19"/>
      <c r="N36" s="19"/>
    </row>
    <row r="37" spans="1:14" s="103" customFormat="1" ht="12.75">
      <c r="A37" s="54">
        <v>29</v>
      </c>
      <c r="B37" s="57" t="s">
        <v>218</v>
      </c>
      <c r="C37" s="57">
        <v>44</v>
      </c>
      <c r="D37" s="190">
        <f>'TABLE-1'!F36</f>
        <v>56</v>
      </c>
      <c r="E37" s="182">
        <v>128795</v>
      </c>
      <c r="F37" s="408">
        <f>'TABLE-2'!D36+'TABLE-2'!E36+'TABLE-2'!F36</f>
        <v>121808</v>
      </c>
      <c r="G37" s="182">
        <v>353517</v>
      </c>
      <c r="H37" s="408">
        <f>'TABLE-2'!G36+'TABLE-2'!H36+'TABLE-2'!I36</f>
        <v>318291</v>
      </c>
      <c r="I37" s="408">
        <f>(G37/E37)*100</f>
        <v>274.4803757909857</v>
      </c>
      <c r="J37" s="408">
        <f t="shared" si="1"/>
        <v>261.3054971758833</v>
      </c>
      <c r="K37" s="19"/>
      <c r="L37" s="19"/>
      <c r="M37" s="19"/>
      <c r="N37" s="19"/>
    </row>
    <row r="38" spans="1:14" s="103" customFormat="1" ht="12.75">
      <c r="A38" s="54">
        <v>30</v>
      </c>
      <c r="B38" s="57" t="s">
        <v>236</v>
      </c>
      <c r="C38" s="57">
        <v>20</v>
      </c>
      <c r="D38" s="190">
        <f>'TABLE-1'!F37</f>
        <v>29</v>
      </c>
      <c r="E38" s="182">
        <v>116650</v>
      </c>
      <c r="F38" s="408">
        <f>'TABLE-2'!D37+'TABLE-2'!E37+'TABLE-2'!F37</f>
        <v>279769</v>
      </c>
      <c r="G38" s="182">
        <v>81944</v>
      </c>
      <c r="H38" s="408">
        <f>'TABLE-2'!G37+'TABLE-2'!H37+'TABLE-2'!I37</f>
        <v>133223</v>
      </c>
      <c r="I38" s="408">
        <f>(G38/E38)*100</f>
        <v>70.24774967852551</v>
      </c>
      <c r="J38" s="408">
        <f t="shared" si="1"/>
        <v>47.618928473133195</v>
      </c>
      <c r="K38" s="19"/>
      <c r="L38" s="19"/>
      <c r="M38" s="19"/>
      <c r="N38" s="19"/>
    </row>
    <row r="39" spans="1:14" s="103" customFormat="1" ht="12.75">
      <c r="A39" s="54">
        <v>31</v>
      </c>
      <c r="B39" s="57" t="s">
        <v>219</v>
      </c>
      <c r="C39" s="57">
        <v>5</v>
      </c>
      <c r="D39" s="190">
        <f>'TABLE-1'!F38</f>
        <v>5</v>
      </c>
      <c r="E39" s="182">
        <v>49605</v>
      </c>
      <c r="F39" s="408">
        <f>'TABLE-2'!D38+'TABLE-2'!E38+'TABLE-2'!F38</f>
        <v>48321</v>
      </c>
      <c r="G39" s="182">
        <v>9014</v>
      </c>
      <c r="H39" s="408">
        <f>'TABLE-2'!G38+'TABLE-2'!H38+'TABLE-2'!I38</f>
        <v>30019</v>
      </c>
      <c r="I39" s="408">
        <f>(G39/E39)*100</f>
        <v>18.171555286765447</v>
      </c>
      <c r="J39" s="408">
        <f t="shared" si="1"/>
        <v>62.12412822582314</v>
      </c>
      <c r="K39" s="19"/>
      <c r="L39" s="19"/>
      <c r="M39" s="19"/>
      <c r="N39" s="19"/>
    </row>
    <row r="40" spans="1:14" s="103" customFormat="1" ht="12.75">
      <c r="A40" s="54">
        <v>32</v>
      </c>
      <c r="B40" s="57" t="s">
        <v>220</v>
      </c>
      <c r="C40" s="57">
        <v>2</v>
      </c>
      <c r="D40" s="190">
        <f>'TABLE-1'!F39</f>
        <v>2</v>
      </c>
      <c r="E40" s="182">
        <v>17090</v>
      </c>
      <c r="F40" s="408">
        <f>'TABLE-2'!D39+'TABLE-2'!E39+'TABLE-2'!F39</f>
        <v>3114</v>
      </c>
      <c r="G40" s="182">
        <v>4368</v>
      </c>
      <c r="H40" s="408">
        <f>'TABLE-2'!G39+'TABLE-2'!H39+'TABLE-2'!I39</f>
        <v>4347</v>
      </c>
      <c r="I40" s="408">
        <f aca="true" t="shared" si="5" ref="I40:I47">(G40/E40)*100</f>
        <v>25.55880631948508</v>
      </c>
      <c r="J40" s="408">
        <f t="shared" si="1"/>
        <v>139.59537572254334</v>
      </c>
      <c r="K40" s="19"/>
      <c r="L40" s="19"/>
      <c r="M40" s="19"/>
      <c r="N40" s="407"/>
    </row>
    <row r="41" spans="1:14" s="103" customFormat="1" ht="12.75">
      <c r="A41" s="110">
        <v>33</v>
      </c>
      <c r="B41" s="111" t="s">
        <v>363</v>
      </c>
      <c r="C41" s="57">
        <v>2</v>
      </c>
      <c r="D41" s="190">
        <f>'TABLE-1'!F40</f>
        <v>3</v>
      </c>
      <c r="E41" s="182">
        <v>1546</v>
      </c>
      <c r="F41" s="408">
        <f>'TABLE-2'!D40+'TABLE-2'!E40+'TABLE-2'!F40</f>
        <v>2163</v>
      </c>
      <c r="G41" s="182">
        <v>4015</v>
      </c>
      <c r="H41" s="408">
        <f>'TABLE-2'!G40+'TABLE-2'!H40+'TABLE-2'!I40</f>
        <v>5006</v>
      </c>
      <c r="I41" s="408">
        <f t="shared" si="5"/>
        <v>259.7024579560155</v>
      </c>
      <c r="J41" s="408">
        <f t="shared" si="1"/>
        <v>231.43781784558485</v>
      </c>
      <c r="K41" s="19"/>
      <c r="L41" s="19"/>
      <c r="M41" s="19"/>
      <c r="N41" s="19"/>
    </row>
    <row r="42" spans="1:14" s="103" customFormat="1" ht="12.75">
      <c r="A42" s="54">
        <v>34</v>
      </c>
      <c r="B42" s="57" t="s">
        <v>242</v>
      </c>
      <c r="C42" s="57">
        <v>1</v>
      </c>
      <c r="D42" s="190">
        <f>'TABLE-1'!F41</f>
        <v>1</v>
      </c>
      <c r="E42" s="182">
        <v>1300</v>
      </c>
      <c r="F42" s="408">
        <f>'TABLE-2'!D41+'TABLE-2'!E41+'TABLE-2'!F41</f>
        <v>2275</v>
      </c>
      <c r="G42" s="182">
        <v>995</v>
      </c>
      <c r="H42" s="408">
        <f>'TABLE-2'!G41+'TABLE-2'!H41+'TABLE-2'!I41</f>
        <v>869</v>
      </c>
      <c r="I42" s="408">
        <f t="shared" si="5"/>
        <v>76.53846153846153</v>
      </c>
      <c r="J42" s="408">
        <f t="shared" si="1"/>
        <v>38.1978021978022</v>
      </c>
      <c r="K42" s="19"/>
      <c r="L42" s="19"/>
      <c r="M42" s="19"/>
      <c r="N42" s="19"/>
    </row>
    <row r="43" spans="1:14" s="103" customFormat="1" ht="12.75">
      <c r="A43" s="54">
        <v>35</v>
      </c>
      <c r="B43" s="57" t="s">
        <v>256</v>
      </c>
      <c r="C43" s="57">
        <v>3</v>
      </c>
      <c r="D43" s="190">
        <f>'TABLE-1'!F42</f>
        <v>3</v>
      </c>
      <c r="E43" s="182">
        <v>13960</v>
      </c>
      <c r="F43" s="408">
        <f>'TABLE-2'!D42+'TABLE-2'!E42+'TABLE-2'!F42</f>
        <v>14606</v>
      </c>
      <c r="G43" s="182">
        <v>7495</v>
      </c>
      <c r="H43" s="408">
        <f>'TABLE-2'!G42+'TABLE-2'!H42+'TABLE-2'!I42</f>
        <v>8795</v>
      </c>
      <c r="I43" s="408">
        <f t="shared" si="5"/>
        <v>53.689111747851</v>
      </c>
      <c r="J43" s="408">
        <f t="shared" si="1"/>
        <v>60.21498014514584</v>
      </c>
      <c r="K43" s="19"/>
      <c r="L43" s="19"/>
      <c r="M43" s="19"/>
      <c r="N43" s="19"/>
    </row>
    <row r="44" spans="1:14" s="103" customFormat="1" ht="12.75">
      <c r="A44" s="54">
        <v>36</v>
      </c>
      <c r="B44" s="57" t="s">
        <v>24</v>
      </c>
      <c r="C44" s="57">
        <v>2</v>
      </c>
      <c r="D44" s="190">
        <f>'TABLE-1'!F43</f>
        <v>2</v>
      </c>
      <c r="E44" s="182">
        <v>18934</v>
      </c>
      <c r="F44" s="408">
        <f>'TABLE-2'!D43+'TABLE-2'!E43+'TABLE-2'!F43</f>
        <v>21692</v>
      </c>
      <c r="G44" s="182">
        <v>5392</v>
      </c>
      <c r="H44" s="408">
        <f>'TABLE-2'!G43+'TABLE-2'!H43+'TABLE-2'!I43</f>
        <v>4737</v>
      </c>
      <c r="I44" s="408">
        <f t="shared" si="5"/>
        <v>28.477870497517692</v>
      </c>
      <c r="J44" s="408">
        <f t="shared" si="1"/>
        <v>21.837543794947443</v>
      </c>
      <c r="K44" s="19"/>
      <c r="L44" s="19"/>
      <c r="M44" s="19"/>
      <c r="N44" s="19"/>
    </row>
    <row r="45" spans="1:14" s="103" customFormat="1" ht="12.75">
      <c r="A45" s="54">
        <v>37</v>
      </c>
      <c r="B45" s="57" t="s">
        <v>223</v>
      </c>
      <c r="C45" s="57">
        <v>1</v>
      </c>
      <c r="D45" s="190">
        <f>'TABLE-1'!F44</f>
        <v>1</v>
      </c>
      <c r="E45" s="182">
        <v>3726</v>
      </c>
      <c r="F45" s="408">
        <f>'TABLE-2'!D44+'TABLE-2'!E44+'TABLE-2'!F44</f>
        <v>4699</v>
      </c>
      <c r="G45" s="182">
        <v>4378</v>
      </c>
      <c r="H45" s="408">
        <f>'TABLE-2'!G44+'TABLE-2'!H44+'TABLE-2'!I44</f>
        <v>5982</v>
      </c>
      <c r="I45" s="408">
        <f t="shared" si="5"/>
        <v>117.49865807836824</v>
      </c>
      <c r="J45" s="408">
        <f t="shared" si="1"/>
        <v>127.3036816343903</v>
      </c>
      <c r="K45" s="19"/>
      <c r="L45" s="19"/>
      <c r="M45" s="19"/>
      <c r="N45" s="19"/>
    </row>
    <row r="46" spans="1:14" s="103" customFormat="1" ht="12.75">
      <c r="A46" s="54">
        <v>38</v>
      </c>
      <c r="B46" s="57" t="s">
        <v>364</v>
      </c>
      <c r="C46" s="57">
        <v>2</v>
      </c>
      <c r="D46" s="190">
        <f>'TABLE-1'!F45</f>
        <v>2</v>
      </c>
      <c r="E46" s="182">
        <v>3233</v>
      </c>
      <c r="F46" s="408">
        <f>'TABLE-2'!D45+'TABLE-2'!E45+'TABLE-2'!F45</f>
        <v>4206</v>
      </c>
      <c r="G46" s="182">
        <v>537</v>
      </c>
      <c r="H46" s="408">
        <f>'TABLE-2'!G45+'TABLE-2'!H45+'TABLE-2'!I45</f>
        <v>677</v>
      </c>
      <c r="I46" s="408">
        <f t="shared" si="5"/>
        <v>16.609959789669038</v>
      </c>
      <c r="J46" s="408">
        <f t="shared" si="1"/>
        <v>16.096053257251544</v>
      </c>
      <c r="K46" s="19"/>
      <c r="L46" s="19"/>
      <c r="M46" s="19"/>
      <c r="N46" s="19"/>
    </row>
    <row r="47" spans="1:14" s="103" customFormat="1" ht="12.75">
      <c r="A47" s="54">
        <v>39</v>
      </c>
      <c r="B47" s="57" t="s">
        <v>398</v>
      </c>
      <c r="C47" s="57">
        <v>28</v>
      </c>
      <c r="D47" s="190">
        <f>'TABLE-1'!F46</f>
        <v>36</v>
      </c>
      <c r="E47" s="182">
        <v>142012</v>
      </c>
      <c r="F47" s="408">
        <f>'TABLE-2'!D46+'TABLE-2'!E46+'TABLE-2'!F46</f>
        <v>156939</v>
      </c>
      <c r="G47" s="182">
        <v>109620</v>
      </c>
      <c r="H47" s="408">
        <f>'TABLE-2'!G46+'TABLE-2'!H46+'TABLE-2'!I46</f>
        <v>101098</v>
      </c>
      <c r="I47" s="408">
        <f t="shared" si="5"/>
        <v>77.19065994423006</v>
      </c>
      <c r="J47" s="408">
        <f t="shared" si="1"/>
        <v>64.4186594791607</v>
      </c>
      <c r="K47" s="19"/>
      <c r="L47" s="19"/>
      <c r="M47" s="19"/>
      <c r="N47" s="19"/>
    </row>
    <row r="48" spans="1:14" s="103" customFormat="1" ht="12.75">
      <c r="A48" s="54"/>
      <c r="B48" s="58" t="s">
        <v>225</v>
      </c>
      <c r="C48" s="58">
        <f>SUM(C35:C47)</f>
        <v>169</v>
      </c>
      <c r="D48" s="249">
        <f>'TABLE-1'!F47</f>
        <v>214</v>
      </c>
      <c r="E48" s="58">
        <f>SUM(E35:E47)</f>
        <v>697284</v>
      </c>
      <c r="F48" s="249">
        <f>SUM(F35:F47)</f>
        <v>882073</v>
      </c>
      <c r="G48" s="58">
        <f>SUM(G35:G47)</f>
        <v>732698</v>
      </c>
      <c r="H48" s="249">
        <f>SUM(H35:H47)</f>
        <v>834019</v>
      </c>
      <c r="I48" s="409">
        <f>(G48/E48)*100</f>
        <v>105.0788487904498</v>
      </c>
      <c r="J48" s="409">
        <f>(H48/F48)*100</f>
        <v>94.55215157929105</v>
      </c>
      <c r="K48" s="19"/>
      <c r="L48" s="19"/>
      <c r="M48" s="19"/>
      <c r="N48" s="19"/>
    </row>
    <row r="49" spans="1:12" s="103" customFormat="1" ht="12.75">
      <c r="A49" s="54"/>
      <c r="B49" s="187" t="s">
        <v>123</v>
      </c>
      <c r="C49" s="58">
        <f aca="true" t="shared" si="6" ref="C49:H49">C26+C34+C48</f>
        <v>2857</v>
      </c>
      <c r="D49" s="249">
        <f t="shared" si="6"/>
        <v>2994</v>
      </c>
      <c r="E49" s="58">
        <f t="shared" si="6"/>
        <v>9185539</v>
      </c>
      <c r="F49" s="249">
        <f t="shared" si="6"/>
        <v>10229096</v>
      </c>
      <c r="G49" s="58">
        <f t="shared" si="6"/>
        <v>5668914</v>
      </c>
      <c r="H49" s="249">
        <f t="shared" si="6"/>
        <v>6328936</v>
      </c>
      <c r="I49" s="409">
        <f>(G49/E49)*100</f>
        <v>61.71563802624974</v>
      </c>
      <c r="J49" s="409">
        <f>(H49/F49)*100</f>
        <v>61.8718995305157</v>
      </c>
      <c r="K49" s="20"/>
      <c r="L49" s="20"/>
    </row>
    <row r="50" spans="1:12" s="103" customFormat="1" ht="15">
      <c r="A50" s="188">
        <v>34</v>
      </c>
      <c r="B50" s="188"/>
      <c r="C50" s="145"/>
      <c r="D50" s="264">
        <f>'TABLE-1'!F44</f>
        <v>1</v>
      </c>
      <c r="E50" s="184"/>
      <c r="F50" s="410"/>
      <c r="G50" s="184"/>
      <c r="H50" s="410"/>
      <c r="I50" s="264"/>
      <c r="J50" s="264"/>
      <c r="K50" s="105"/>
      <c r="L50" s="105"/>
    </row>
    <row r="51" spans="1:12" s="103" customFormat="1" ht="15">
      <c r="A51" s="18">
        <v>35</v>
      </c>
      <c r="C51" s="22"/>
      <c r="D51" s="99">
        <f>'TABLE-1'!F46</f>
        <v>36</v>
      </c>
      <c r="E51" s="21"/>
      <c r="F51" s="259"/>
      <c r="G51" s="21"/>
      <c r="H51" s="259"/>
      <c r="I51" s="99" t="s">
        <v>36</v>
      </c>
      <c r="J51" s="99"/>
      <c r="K51" s="105"/>
      <c r="L51" s="105"/>
    </row>
    <row r="52" spans="1:12" s="103" customFormat="1" ht="15">
      <c r="A52" s="18">
        <v>36</v>
      </c>
      <c r="C52" s="22"/>
      <c r="D52" s="99" t="e">
        <f>'TABLE-1'!#REF!</f>
        <v>#REF!</v>
      </c>
      <c r="E52" s="21"/>
      <c r="F52" s="259"/>
      <c r="G52" s="21"/>
      <c r="H52" s="259"/>
      <c r="I52" s="99" t="s">
        <v>36</v>
      </c>
      <c r="J52" s="192"/>
      <c r="K52" s="105"/>
      <c r="L52" s="105"/>
    </row>
    <row r="53" spans="1:12" s="103" customFormat="1" ht="12.75">
      <c r="A53" s="105"/>
      <c r="B53" s="105"/>
      <c r="C53" s="23"/>
      <c r="D53" s="192"/>
      <c r="E53" s="23"/>
      <c r="F53" s="192"/>
      <c r="G53" s="185"/>
      <c r="H53" s="192"/>
      <c r="I53" s="192"/>
      <c r="J53" s="192"/>
      <c r="K53" s="105"/>
      <c r="L53" s="105"/>
    </row>
    <row r="54" spans="1:12" s="103" customFormat="1" ht="12.75">
      <c r="A54" s="205" t="s">
        <v>4</v>
      </c>
      <c r="B54" s="205" t="s">
        <v>5</v>
      </c>
      <c r="C54" s="624" t="s">
        <v>40</v>
      </c>
      <c r="D54" s="625"/>
      <c r="E54" s="624" t="s">
        <v>45</v>
      </c>
      <c r="F54" s="625"/>
      <c r="G54" s="624" t="s">
        <v>46</v>
      </c>
      <c r="H54" s="625"/>
      <c r="I54" s="624" t="s">
        <v>47</v>
      </c>
      <c r="J54" s="625"/>
      <c r="K54" s="108"/>
      <c r="L54" s="108"/>
    </row>
    <row r="55" spans="1:12" s="103" customFormat="1" ht="12.75">
      <c r="A55" s="206" t="s">
        <v>6</v>
      </c>
      <c r="B55" s="206"/>
      <c r="C55" s="181" t="s">
        <v>422</v>
      </c>
      <c r="D55" s="407" t="s">
        <v>429</v>
      </c>
      <c r="E55" s="181" t="s">
        <v>422</v>
      </c>
      <c r="F55" s="407" t="s">
        <v>429</v>
      </c>
      <c r="G55" s="181" t="s">
        <v>422</v>
      </c>
      <c r="H55" s="407" t="s">
        <v>429</v>
      </c>
      <c r="I55" s="407" t="s">
        <v>422</v>
      </c>
      <c r="J55" s="407" t="s">
        <v>429</v>
      </c>
      <c r="K55" s="105"/>
      <c r="L55" s="105"/>
    </row>
    <row r="56" spans="1:14" s="103" customFormat="1" ht="15" customHeight="1">
      <c r="A56" s="54">
        <v>40</v>
      </c>
      <c r="B56" s="57" t="s">
        <v>78</v>
      </c>
      <c r="C56" s="57">
        <v>80</v>
      </c>
      <c r="D56" s="190">
        <f>'TABLE-1'!F55</f>
        <v>80</v>
      </c>
      <c r="E56" s="182">
        <v>62820</v>
      </c>
      <c r="F56" s="408">
        <f>'TABLE-2'!D54+'TABLE-2'!E54+'TABLE-2'!F54</f>
        <v>57427</v>
      </c>
      <c r="G56" s="182">
        <v>24553</v>
      </c>
      <c r="H56" s="408">
        <f>'TABLE-2'!G54+'TABLE-2'!H54+'TABLE-2'!I54</f>
        <v>25811</v>
      </c>
      <c r="I56" s="408">
        <f aca="true" t="shared" si="7" ref="I56:I63">(G56/E56)*100</f>
        <v>39.08468640560331</v>
      </c>
      <c r="J56" s="408">
        <f aca="true" t="shared" si="8" ref="J56:J63">(H56/F56)*100</f>
        <v>44.94575722221255</v>
      </c>
      <c r="K56" s="19"/>
      <c r="L56" s="19"/>
      <c r="M56" s="19"/>
      <c r="N56" s="19"/>
    </row>
    <row r="57" spans="1:14" s="103" customFormat="1" ht="15" customHeight="1">
      <c r="A57" s="54">
        <v>41</v>
      </c>
      <c r="B57" s="57" t="s">
        <v>278</v>
      </c>
      <c r="C57" s="57">
        <v>213</v>
      </c>
      <c r="D57" s="190">
        <f>'TABLE-1'!F56</f>
        <v>213</v>
      </c>
      <c r="E57" s="182">
        <v>142283</v>
      </c>
      <c r="F57" s="408">
        <f>'TABLE-2'!D55+'TABLE-2'!E55+'TABLE-2'!F55</f>
        <v>153434</v>
      </c>
      <c r="G57" s="182">
        <v>84737</v>
      </c>
      <c r="H57" s="408">
        <f>'TABLE-2'!G55+'TABLE-2'!H55+'TABLE-2'!I55</f>
        <v>98801</v>
      </c>
      <c r="I57" s="408">
        <f t="shared" si="7"/>
        <v>59.555252560038795</v>
      </c>
      <c r="J57" s="408">
        <f t="shared" si="8"/>
        <v>64.39315927369422</v>
      </c>
      <c r="K57" s="19"/>
      <c r="L57" s="19"/>
      <c r="M57" s="19"/>
      <c r="N57" s="19"/>
    </row>
    <row r="58" spans="1:14" s="103" customFormat="1" ht="15" customHeight="1">
      <c r="A58" s="54">
        <v>42</v>
      </c>
      <c r="B58" s="57" t="s">
        <v>30</v>
      </c>
      <c r="C58" s="57">
        <v>43</v>
      </c>
      <c r="D58" s="190">
        <f>'TABLE-1'!F57</f>
        <v>43</v>
      </c>
      <c r="E58" s="57">
        <v>20415</v>
      </c>
      <c r="F58" s="408">
        <f>'TABLE-2'!D56+'TABLE-2'!E56+'TABLE-2'!F56</f>
        <v>21373</v>
      </c>
      <c r="G58" s="182">
        <v>7497</v>
      </c>
      <c r="H58" s="408">
        <f>'TABLE-2'!G56+'TABLE-2'!H56+'TABLE-2'!I56</f>
        <v>7564</v>
      </c>
      <c r="I58" s="408">
        <f t="shared" si="7"/>
        <v>36.72299779573843</v>
      </c>
      <c r="J58" s="408">
        <f t="shared" si="8"/>
        <v>35.39044588967389</v>
      </c>
      <c r="K58" s="19"/>
      <c r="L58" s="19"/>
      <c r="M58" s="19"/>
      <c r="N58" s="19"/>
    </row>
    <row r="59" spans="1:14" s="103" customFormat="1" ht="15" customHeight="1">
      <c r="A59" s="54">
        <v>43</v>
      </c>
      <c r="B59" s="57" t="s">
        <v>234</v>
      </c>
      <c r="C59" s="57">
        <v>212</v>
      </c>
      <c r="D59" s="190">
        <f>'TABLE-1'!F58</f>
        <v>211</v>
      </c>
      <c r="E59" s="57">
        <v>172579</v>
      </c>
      <c r="F59" s="408">
        <f>'TABLE-2'!D57+'TABLE-2'!E57+'TABLE-2'!F57</f>
        <v>171417</v>
      </c>
      <c r="G59" s="182">
        <v>103435</v>
      </c>
      <c r="H59" s="408">
        <f>'TABLE-2'!G57+'TABLE-2'!H57+'TABLE-2'!I57</f>
        <v>116653</v>
      </c>
      <c r="I59" s="408">
        <f t="shared" si="7"/>
        <v>59.93487040717584</v>
      </c>
      <c r="J59" s="408">
        <f t="shared" si="8"/>
        <v>68.05217685527106</v>
      </c>
      <c r="K59" s="19"/>
      <c r="L59" s="19"/>
      <c r="M59" s="19"/>
      <c r="N59" s="19"/>
    </row>
    <row r="60" spans="1:14" s="103" customFormat="1" ht="15" customHeight="1">
      <c r="A60" s="54">
        <v>44</v>
      </c>
      <c r="B60" s="57" t="s">
        <v>29</v>
      </c>
      <c r="C60" s="57">
        <v>94</v>
      </c>
      <c r="D60" s="190">
        <f>'TABLE-1'!F59</f>
        <v>100</v>
      </c>
      <c r="E60" s="182">
        <v>81632</v>
      </c>
      <c r="F60" s="408">
        <f>'TABLE-2'!D58+'TABLE-2'!E58+'TABLE-2'!F58</f>
        <v>88174</v>
      </c>
      <c r="G60" s="182">
        <v>20163</v>
      </c>
      <c r="H60" s="408">
        <f>'TABLE-2'!G58+'TABLE-2'!H58+'TABLE-2'!I58</f>
        <v>20562</v>
      </c>
      <c r="I60" s="408">
        <f t="shared" si="7"/>
        <v>24.69987259898079</v>
      </c>
      <c r="J60" s="408">
        <f t="shared" si="8"/>
        <v>23.31979948737723</v>
      </c>
      <c r="K60" s="19"/>
      <c r="L60" s="19"/>
      <c r="M60" s="19"/>
      <c r="N60" s="19"/>
    </row>
    <row r="61" spans="1:14" s="103" customFormat="1" ht="15" customHeight="1">
      <c r="A61" s="54">
        <v>45</v>
      </c>
      <c r="B61" s="57" t="s">
        <v>391</v>
      </c>
      <c r="C61" s="57">
        <v>346</v>
      </c>
      <c r="D61" s="190">
        <f>'TABLE-1'!F60</f>
        <v>347</v>
      </c>
      <c r="E61" s="57">
        <v>252028</v>
      </c>
      <c r="F61" s="408">
        <f>'TABLE-2'!D59+'TABLE-2'!E59+'TABLE-2'!F59</f>
        <v>257110</v>
      </c>
      <c r="G61" s="182">
        <v>117811</v>
      </c>
      <c r="H61" s="408">
        <f>'TABLE-2'!G59+'TABLE-2'!H59+'TABLE-2'!I59</f>
        <v>150615</v>
      </c>
      <c r="I61" s="408">
        <f t="shared" si="7"/>
        <v>46.74520291396194</v>
      </c>
      <c r="J61" s="408">
        <f t="shared" si="8"/>
        <v>58.57998522033371</v>
      </c>
      <c r="K61" s="19"/>
      <c r="L61" s="19"/>
      <c r="M61" s="19"/>
      <c r="N61" s="19"/>
    </row>
    <row r="62" spans="1:14" ht="15" customHeight="1">
      <c r="A62" s="54">
        <v>46</v>
      </c>
      <c r="B62" s="57" t="s">
        <v>25</v>
      </c>
      <c r="C62" s="57">
        <v>63</v>
      </c>
      <c r="D62" s="190">
        <f>'TABLE-1'!F61</f>
        <v>63</v>
      </c>
      <c r="E62" s="182">
        <v>49849</v>
      </c>
      <c r="F62" s="408">
        <f>'TABLE-2'!D60+'TABLE-2'!E60+'TABLE-2'!F60</f>
        <v>49973</v>
      </c>
      <c r="G62" s="182">
        <v>15778</v>
      </c>
      <c r="H62" s="408">
        <f>'TABLE-2'!G60+'TABLE-2'!H60+'TABLE-2'!I60</f>
        <v>16904</v>
      </c>
      <c r="I62" s="408">
        <f t="shared" si="7"/>
        <v>31.651587795141328</v>
      </c>
      <c r="J62" s="408">
        <f t="shared" si="8"/>
        <v>33.826266183739214</v>
      </c>
      <c r="K62" s="7"/>
      <c r="L62" s="7"/>
      <c r="M62" s="7"/>
      <c r="N62" s="7"/>
    </row>
    <row r="63" spans="1:14" ht="15" customHeight="1">
      <c r="A63" s="54">
        <v>47</v>
      </c>
      <c r="B63" s="57" t="s">
        <v>28</v>
      </c>
      <c r="C63" s="57">
        <v>23</v>
      </c>
      <c r="D63" s="190">
        <f>'TABLE-1'!F62</f>
        <v>25</v>
      </c>
      <c r="E63" s="182">
        <v>27111</v>
      </c>
      <c r="F63" s="408">
        <f>'TABLE-2'!D61+'TABLE-2'!E61+'TABLE-2'!F61</f>
        <v>30661</v>
      </c>
      <c r="G63" s="182">
        <v>14310</v>
      </c>
      <c r="H63" s="408">
        <f>'TABLE-2'!G61+'TABLE-2'!H61+'TABLE-2'!I61</f>
        <v>15736</v>
      </c>
      <c r="I63" s="408">
        <f t="shared" si="7"/>
        <v>52.783003209029545</v>
      </c>
      <c r="J63" s="408">
        <f t="shared" si="8"/>
        <v>51.3225269886827</v>
      </c>
      <c r="K63" s="7"/>
      <c r="L63" s="7"/>
      <c r="M63" s="7"/>
      <c r="N63" s="7"/>
    </row>
    <row r="64" spans="1:14" s="2" customFormat="1" ht="15" customHeight="1">
      <c r="A64" s="54"/>
      <c r="B64" s="52" t="s">
        <v>123</v>
      </c>
      <c r="C64" s="58">
        <f>SUM(C56:C63)</f>
        <v>1074</v>
      </c>
      <c r="D64" s="249">
        <f>'TABLE-1'!F63</f>
        <v>1082</v>
      </c>
      <c r="E64" s="58">
        <f>SUM(E56:E63)</f>
        <v>808717</v>
      </c>
      <c r="F64" s="249">
        <f>SUM(F56:F63)</f>
        <v>829569</v>
      </c>
      <c r="G64" s="58">
        <f>SUM(G56:G63)</f>
        <v>388284</v>
      </c>
      <c r="H64" s="249">
        <f>SUM(H56:H63)</f>
        <v>452646</v>
      </c>
      <c r="I64" s="409">
        <f>(G64/E64)*100</f>
        <v>48.01234548055748</v>
      </c>
      <c r="J64" s="409">
        <f>(H64/F64)*100</f>
        <v>54.56399648492168</v>
      </c>
      <c r="K64" s="8"/>
      <c r="L64" s="8"/>
      <c r="M64" s="8"/>
      <c r="N64" s="8"/>
    </row>
    <row r="65" spans="1:14" ht="15" customHeight="1">
      <c r="A65" s="54"/>
      <c r="B65" s="51"/>
      <c r="C65" s="57"/>
      <c r="D65" s="190"/>
      <c r="E65" s="182"/>
      <c r="F65" s="408"/>
      <c r="G65" s="182"/>
      <c r="H65" s="190"/>
      <c r="I65" s="408"/>
      <c r="J65" s="408"/>
      <c r="K65" s="7"/>
      <c r="L65" s="7"/>
      <c r="M65" s="7"/>
      <c r="N65" s="7"/>
    </row>
    <row r="66" spans="1:14" ht="15" customHeight="1">
      <c r="A66" s="54">
        <v>48</v>
      </c>
      <c r="B66" s="51" t="s">
        <v>34</v>
      </c>
      <c r="C66" s="57">
        <v>855</v>
      </c>
      <c r="D66" s="190">
        <f>'TABLE-1'!F65</f>
        <v>855</v>
      </c>
      <c r="E66" s="182">
        <v>829619</v>
      </c>
      <c r="F66" s="408">
        <f>'TABLE-2'!D64+'TABLE-2'!E64+'TABLE-2'!F64</f>
        <v>929123.00000001</v>
      </c>
      <c r="G66" s="182">
        <v>610889</v>
      </c>
      <c r="H66" s="408">
        <f>'TABLE-2'!G64+'TABLE-2'!H64+'TABLE-2'!I64</f>
        <v>539613</v>
      </c>
      <c r="I66" s="408">
        <f aca="true" t="shared" si="9" ref="I66:J68">(G66/E66)*100</f>
        <v>73.63488541125504</v>
      </c>
      <c r="J66" s="408">
        <f t="shared" si="9"/>
        <v>58.07767109413868</v>
      </c>
      <c r="K66" s="7"/>
      <c r="L66" s="7"/>
      <c r="M66" s="7"/>
      <c r="N66" s="7"/>
    </row>
    <row r="67" spans="1:14" ht="15" customHeight="1">
      <c r="A67" s="54">
        <v>49</v>
      </c>
      <c r="B67" s="51" t="s">
        <v>130</v>
      </c>
      <c r="C67" s="57">
        <v>373</v>
      </c>
      <c r="D67" s="190">
        <f>'TABLE-1'!F66</f>
        <v>359</v>
      </c>
      <c r="E67" s="182">
        <v>12742</v>
      </c>
      <c r="F67" s="408">
        <f>'TABLE-2'!D65+'TABLE-2'!E65+'TABLE-2'!F65</f>
        <v>12381</v>
      </c>
      <c r="G67" s="182">
        <v>129398</v>
      </c>
      <c r="H67" s="408">
        <f>'TABLE-2'!G65+'TABLE-2'!H65+'TABLE-2'!I65</f>
        <v>119869</v>
      </c>
      <c r="I67" s="408">
        <f t="shared" si="9"/>
        <v>1015.5234657039712</v>
      </c>
      <c r="J67" s="408">
        <f t="shared" si="9"/>
        <v>968.16896858089</v>
      </c>
      <c r="K67" s="7"/>
      <c r="L67" s="7"/>
      <c r="M67" s="7"/>
      <c r="N67" s="7"/>
    </row>
    <row r="68" spans="1:12" s="2" customFormat="1" ht="15" customHeight="1">
      <c r="A68" s="52"/>
      <c r="B68" s="52" t="s">
        <v>123</v>
      </c>
      <c r="C68" s="58">
        <f aca="true" t="shared" si="10" ref="C68:H68">SUM(C66:C67)</f>
        <v>1228</v>
      </c>
      <c r="D68" s="249">
        <f t="shared" si="10"/>
        <v>1214</v>
      </c>
      <c r="E68" s="58">
        <f t="shared" si="10"/>
        <v>842361</v>
      </c>
      <c r="F68" s="249">
        <f t="shared" si="10"/>
        <v>941504.00000001</v>
      </c>
      <c r="G68" s="58">
        <f t="shared" si="10"/>
        <v>740287</v>
      </c>
      <c r="H68" s="249">
        <f t="shared" si="10"/>
        <v>659482</v>
      </c>
      <c r="I68" s="409">
        <f t="shared" si="9"/>
        <v>87.882392465938</v>
      </c>
      <c r="J68" s="409">
        <f t="shared" si="9"/>
        <v>70.04558663584997</v>
      </c>
      <c r="K68" s="8"/>
      <c r="L68" s="8"/>
    </row>
    <row r="69" spans="1:12" ht="15" customHeight="1">
      <c r="A69" s="50"/>
      <c r="B69" s="50"/>
      <c r="C69" s="57"/>
      <c r="D69" s="190"/>
      <c r="E69" s="57"/>
      <c r="F69" s="190"/>
      <c r="G69" s="182"/>
      <c r="H69" s="190"/>
      <c r="I69" s="408"/>
      <c r="J69" s="408"/>
      <c r="K69" s="8"/>
      <c r="L69" s="8"/>
    </row>
    <row r="70" spans="1:10" s="2" customFormat="1" ht="15" customHeight="1">
      <c r="A70" s="52"/>
      <c r="B70" s="52" t="s">
        <v>35</v>
      </c>
      <c r="C70" s="58">
        <f aca="true" t="shared" si="11" ref="C70:H70">C49+C64+C68</f>
        <v>5159</v>
      </c>
      <c r="D70" s="249">
        <f t="shared" si="11"/>
        <v>5290</v>
      </c>
      <c r="E70" s="58">
        <f t="shared" si="11"/>
        <v>10836617</v>
      </c>
      <c r="F70" s="249">
        <f t="shared" si="11"/>
        <v>12000169.00000001</v>
      </c>
      <c r="G70" s="58">
        <f t="shared" si="11"/>
        <v>6797485</v>
      </c>
      <c r="H70" s="249">
        <f t="shared" si="11"/>
        <v>7441064</v>
      </c>
      <c r="I70" s="409">
        <f>(G70/E70)*100</f>
        <v>62.7270023476884</v>
      </c>
      <c r="J70" s="409">
        <f>(H70/F70)*100</f>
        <v>62.00799338742641</v>
      </c>
    </row>
    <row r="72" ht="12.75">
      <c r="C72" s="22" t="s">
        <v>36</v>
      </c>
    </row>
    <row r="83" ht="12.75">
      <c r="B83" s="114">
        <v>2</v>
      </c>
    </row>
  </sheetData>
  <sheetProtection/>
  <mergeCells count="9">
    <mergeCell ref="E4:F4"/>
    <mergeCell ref="C5:D5"/>
    <mergeCell ref="G5:H5"/>
    <mergeCell ref="I5:J5"/>
    <mergeCell ref="E5:F5"/>
    <mergeCell ref="C54:D54"/>
    <mergeCell ref="E54:F54"/>
    <mergeCell ref="G54:H54"/>
    <mergeCell ref="I54:J54"/>
  </mergeCells>
  <printOptions gridLines="1" horizontalCentered="1"/>
  <pageMargins left="0.75" right="0.75" top="0.5" bottom="0.6" header="0.28" footer="0.5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D48">
      <selection activeCell="I71" sqref="I7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7109375" style="0" customWidth="1"/>
    <col min="4" max="4" width="13.8515625" style="0" customWidth="1"/>
    <col min="5" max="5" width="18.57421875" style="0" customWidth="1"/>
    <col min="6" max="6" width="19.421875" style="0" customWidth="1"/>
    <col min="7" max="7" width="15.28125" style="0" customWidth="1"/>
    <col min="8" max="9" width="12.28125" style="103" customWidth="1"/>
    <col min="10" max="10" width="15.140625" style="7" customWidth="1"/>
  </cols>
  <sheetData>
    <row r="1" spans="1:5" ht="21.75" customHeight="1">
      <c r="A1" s="2"/>
      <c r="B1" s="2"/>
      <c r="C1" s="2"/>
      <c r="D1" s="1"/>
      <c r="E1" s="1"/>
    </row>
    <row r="2" ht="19.5" customHeight="1">
      <c r="E2" s="1"/>
    </row>
    <row r="3" ht="18" customHeight="1" hidden="1">
      <c r="E3" s="1"/>
    </row>
    <row r="4" spans="1:10" ht="18" customHeight="1" hidden="1">
      <c r="A4" s="2" t="s">
        <v>122</v>
      </c>
      <c r="B4" s="2" t="s">
        <v>5</v>
      </c>
      <c r="C4" s="2"/>
      <c r="D4" s="724" t="s">
        <v>125</v>
      </c>
      <c r="E4" s="724" t="s">
        <v>178</v>
      </c>
      <c r="F4" s="724" t="s">
        <v>179</v>
      </c>
      <c r="G4" s="724" t="s">
        <v>180</v>
      </c>
      <c r="H4" s="600"/>
      <c r="I4" s="600"/>
      <c r="J4" s="724" t="s">
        <v>232</v>
      </c>
    </row>
    <row r="5" spans="1:11" ht="15" customHeight="1">
      <c r="A5" s="25" t="s">
        <v>122</v>
      </c>
      <c r="B5" s="25" t="s">
        <v>5</v>
      </c>
      <c r="C5" s="730" t="s">
        <v>75</v>
      </c>
      <c r="D5" s="725"/>
      <c r="E5" s="725"/>
      <c r="F5" s="725"/>
      <c r="G5" s="725"/>
      <c r="H5" s="726" t="s">
        <v>259</v>
      </c>
      <c r="I5" s="727"/>
      <c r="J5" s="725"/>
      <c r="K5" t="s">
        <v>36</v>
      </c>
    </row>
    <row r="6" spans="1:10" ht="12.75">
      <c r="A6" s="70" t="s">
        <v>6</v>
      </c>
      <c r="B6" s="76"/>
      <c r="C6" s="731"/>
      <c r="D6" s="725"/>
      <c r="E6" s="725"/>
      <c r="F6" s="725"/>
      <c r="G6" s="725"/>
      <c r="H6" s="728"/>
      <c r="I6" s="729"/>
      <c r="J6" s="725"/>
    </row>
    <row r="7" spans="1:10" ht="12.75">
      <c r="A7" s="88"/>
      <c r="B7" s="26"/>
      <c r="C7" s="77"/>
      <c r="D7" s="93"/>
      <c r="E7" s="93"/>
      <c r="F7" s="93"/>
      <c r="G7" s="93"/>
      <c r="H7" s="601" t="s">
        <v>57</v>
      </c>
      <c r="I7" s="602" t="s">
        <v>63</v>
      </c>
      <c r="J7" s="94"/>
    </row>
    <row r="8" spans="1:13" s="117" customFormat="1" ht="12.75">
      <c r="A8" s="115">
        <v>1</v>
      </c>
      <c r="B8" s="116" t="s">
        <v>7</v>
      </c>
      <c r="C8" s="116">
        <v>400</v>
      </c>
      <c r="D8" s="116">
        <v>197</v>
      </c>
      <c r="E8" s="116">
        <v>24</v>
      </c>
      <c r="F8" s="116">
        <v>142</v>
      </c>
      <c r="G8" s="116">
        <v>69</v>
      </c>
      <c r="H8" s="57">
        <v>1574</v>
      </c>
      <c r="I8" s="57">
        <v>669</v>
      </c>
      <c r="J8" s="116">
        <v>29</v>
      </c>
      <c r="K8" s="127"/>
      <c r="L8" s="127"/>
      <c r="M8" s="127"/>
    </row>
    <row r="9" spans="1:13" s="117" customFormat="1" ht="12.75">
      <c r="A9" s="115">
        <v>2</v>
      </c>
      <c r="B9" s="116" t="s">
        <v>8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57">
        <v>0</v>
      </c>
      <c r="I9" s="57">
        <v>0</v>
      </c>
      <c r="J9" s="116">
        <v>0</v>
      </c>
      <c r="K9" s="127"/>
      <c r="L9" s="127"/>
      <c r="M9" s="127"/>
    </row>
    <row r="10" spans="1:13" s="117" customFormat="1" ht="12.75">
      <c r="A10" s="115">
        <v>3</v>
      </c>
      <c r="B10" s="116" t="s">
        <v>9</v>
      </c>
      <c r="C10" s="116">
        <v>400</v>
      </c>
      <c r="D10" s="116">
        <v>26</v>
      </c>
      <c r="E10" s="116">
        <v>2</v>
      </c>
      <c r="F10" s="116">
        <v>3</v>
      </c>
      <c r="G10" s="116">
        <v>3</v>
      </c>
      <c r="H10" s="57">
        <v>274</v>
      </c>
      <c r="I10" s="57">
        <v>194</v>
      </c>
      <c r="J10" s="116">
        <v>31</v>
      </c>
      <c r="K10" s="127"/>
      <c r="L10" s="127"/>
      <c r="M10" s="127"/>
    </row>
    <row r="11" spans="1:13" ht="12.75">
      <c r="A11" s="50">
        <v>4</v>
      </c>
      <c r="B11" s="51" t="s">
        <v>10</v>
      </c>
      <c r="C11" s="51">
        <v>2200</v>
      </c>
      <c r="D11" s="51">
        <v>417</v>
      </c>
      <c r="E11" s="51">
        <v>71</v>
      </c>
      <c r="F11" s="51">
        <v>153</v>
      </c>
      <c r="G11" s="51">
        <v>413</v>
      </c>
      <c r="H11" s="57">
        <v>1692</v>
      </c>
      <c r="I11" s="57">
        <v>2351</v>
      </c>
      <c r="J11" s="51">
        <v>213</v>
      </c>
      <c r="K11" s="6"/>
      <c r="L11" s="6"/>
      <c r="M11" s="6"/>
    </row>
    <row r="12" spans="1:13" ht="12.75">
      <c r="A12" s="50">
        <v>5</v>
      </c>
      <c r="B12" s="51" t="s">
        <v>11</v>
      </c>
      <c r="C12" s="51">
        <v>400</v>
      </c>
      <c r="D12" s="51">
        <v>131</v>
      </c>
      <c r="E12" s="51">
        <v>3</v>
      </c>
      <c r="F12" s="51">
        <v>68</v>
      </c>
      <c r="G12" s="51">
        <v>46</v>
      </c>
      <c r="H12" s="57">
        <v>672</v>
      </c>
      <c r="I12" s="57">
        <v>20</v>
      </c>
      <c r="J12" s="51">
        <v>22</v>
      </c>
      <c r="K12" s="6"/>
      <c r="L12" s="6"/>
      <c r="M12" s="6"/>
    </row>
    <row r="13" spans="1:13" ht="12.75">
      <c r="A13" s="50">
        <v>6</v>
      </c>
      <c r="B13" s="51" t="s">
        <v>12</v>
      </c>
      <c r="C13" s="51">
        <v>991</v>
      </c>
      <c r="D13" s="51">
        <v>32</v>
      </c>
      <c r="E13" s="51">
        <v>17</v>
      </c>
      <c r="F13" s="51">
        <v>6</v>
      </c>
      <c r="G13" s="51">
        <v>13</v>
      </c>
      <c r="H13" s="57">
        <v>596</v>
      </c>
      <c r="I13" s="57">
        <v>758</v>
      </c>
      <c r="J13" s="51">
        <v>27</v>
      </c>
      <c r="K13" s="6"/>
      <c r="L13" s="6"/>
      <c r="M13" s="6"/>
    </row>
    <row r="14" spans="1:13" s="103" customFormat="1" ht="12.75">
      <c r="A14" s="54">
        <v>7</v>
      </c>
      <c r="B14" s="57" t="s">
        <v>13</v>
      </c>
      <c r="C14" s="57">
        <v>500</v>
      </c>
      <c r="D14" s="57">
        <v>345</v>
      </c>
      <c r="E14" s="57">
        <v>32</v>
      </c>
      <c r="F14" s="57">
        <v>92</v>
      </c>
      <c r="G14" s="57">
        <v>68</v>
      </c>
      <c r="H14" s="57">
        <v>5095</v>
      </c>
      <c r="I14" s="57">
        <v>4018</v>
      </c>
      <c r="J14" s="57">
        <v>251</v>
      </c>
      <c r="K14" s="22"/>
      <c r="L14" s="22"/>
      <c r="M14" s="22"/>
    </row>
    <row r="15" spans="1:13" s="103" customFormat="1" ht="12.75">
      <c r="A15" s="54">
        <v>8</v>
      </c>
      <c r="B15" s="57" t="s">
        <v>162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22"/>
      <c r="L15" s="22"/>
      <c r="M15" s="22"/>
    </row>
    <row r="16" spans="1:13" ht="12.75">
      <c r="A16" s="50">
        <v>9</v>
      </c>
      <c r="B16" s="51" t="s">
        <v>14</v>
      </c>
      <c r="C16" s="51">
        <v>0</v>
      </c>
      <c r="D16" s="51">
        <v>0</v>
      </c>
      <c r="E16" s="51">
        <v>0</v>
      </c>
      <c r="F16" s="51">
        <v>0</v>
      </c>
      <c r="G16" s="51">
        <v>2</v>
      </c>
      <c r="H16" s="57">
        <v>7</v>
      </c>
      <c r="I16" s="57">
        <v>1</v>
      </c>
      <c r="J16" s="51">
        <v>0</v>
      </c>
      <c r="K16" s="6"/>
      <c r="L16" s="6"/>
      <c r="M16" s="6"/>
    </row>
    <row r="17" spans="1:13" ht="12" customHeight="1">
      <c r="A17" s="50">
        <v>10</v>
      </c>
      <c r="B17" s="51" t="s">
        <v>15</v>
      </c>
      <c r="C17" s="51">
        <v>125</v>
      </c>
      <c r="D17" s="51">
        <v>865</v>
      </c>
      <c r="E17" s="51">
        <v>68</v>
      </c>
      <c r="F17" s="51">
        <v>56</v>
      </c>
      <c r="G17" s="51">
        <v>17</v>
      </c>
      <c r="H17" s="57">
        <v>75</v>
      </c>
      <c r="I17" s="57">
        <v>17</v>
      </c>
      <c r="J17" s="51">
        <v>42</v>
      </c>
      <c r="K17" s="6"/>
      <c r="L17" s="6"/>
      <c r="M17" s="6"/>
    </row>
    <row r="18" spans="1:13" ht="14.25" customHeight="1">
      <c r="A18" s="50">
        <v>11</v>
      </c>
      <c r="B18" s="51" t="s">
        <v>16</v>
      </c>
      <c r="C18" s="51">
        <v>0</v>
      </c>
      <c r="D18" s="51">
        <v>3</v>
      </c>
      <c r="E18" s="51">
        <v>0</v>
      </c>
      <c r="F18" s="51">
        <v>0</v>
      </c>
      <c r="G18" s="51">
        <v>7</v>
      </c>
      <c r="H18" s="57">
        <v>1</v>
      </c>
      <c r="I18" s="57">
        <v>0</v>
      </c>
      <c r="J18" s="51">
        <v>0</v>
      </c>
      <c r="K18" s="6"/>
      <c r="L18" s="6"/>
      <c r="M18" s="6"/>
    </row>
    <row r="19" spans="1:13" ht="12.75">
      <c r="A19" s="50">
        <v>12</v>
      </c>
      <c r="B19" s="51" t="s">
        <v>17</v>
      </c>
      <c r="C19" s="51">
        <v>3</v>
      </c>
      <c r="D19" s="51">
        <v>0</v>
      </c>
      <c r="E19" s="51">
        <v>0</v>
      </c>
      <c r="F19" s="51">
        <v>0</v>
      </c>
      <c r="G19" s="51">
        <v>0</v>
      </c>
      <c r="H19" s="57">
        <v>81</v>
      </c>
      <c r="I19" s="57">
        <v>80</v>
      </c>
      <c r="J19" s="51">
        <v>0</v>
      </c>
      <c r="K19" s="6"/>
      <c r="L19" s="6"/>
      <c r="M19" s="6"/>
    </row>
    <row r="20" spans="1:13" ht="12.75">
      <c r="A20" s="50">
        <v>13</v>
      </c>
      <c r="B20" s="51" t="s">
        <v>164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7">
        <v>0</v>
      </c>
      <c r="I20" s="57">
        <v>0</v>
      </c>
      <c r="J20" s="51">
        <v>0</v>
      </c>
      <c r="K20" s="6"/>
      <c r="L20" s="6"/>
      <c r="M20" s="6"/>
    </row>
    <row r="21" spans="1:13" ht="12.75">
      <c r="A21" s="50">
        <v>14</v>
      </c>
      <c r="B21" s="51" t="s">
        <v>77</v>
      </c>
      <c r="C21" s="51">
        <v>3600</v>
      </c>
      <c r="D21" s="51">
        <v>0</v>
      </c>
      <c r="E21" s="51">
        <v>0</v>
      </c>
      <c r="F21" s="51">
        <v>0</v>
      </c>
      <c r="G21" s="51">
        <v>0</v>
      </c>
      <c r="H21" s="57">
        <v>0</v>
      </c>
      <c r="I21" s="57">
        <v>0</v>
      </c>
      <c r="J21" s="51">
        <v>0</v>
      </c>
      <c r="K21" s="6"/>
      <c r="L21" s="6"/>
      <c r="M21" s="6"/>
    </row>
    <row r="22" spans="1:13" ht="12" customHeight="1">
      <c r="A22" s="50">
        <v>15</v>
      </c>
      <c r="B22" s="51" t="s">
        <v>105</v>
      </c>
      <c r="C22" s="51">
        <v>100</v>
      </c>
      <c r="D22" s="51">
        <v>78</v>
      </c>
      <c r="E22" s="51">
        <v>1</v>
      </c>
      <c r="F22" s="51">
        <v>28</v>
      </c>
      <c r="G22" s="51">
        <v>19</v>
      </c>
      <c r="H22" s="57">
        <v>219</v>
      </c>
      <c r="I22" s="57">
        <v>132</v>
      </c>
      <c r="J22" s="51">
        <v>25</v>
      </c>
      <c r="K22" s="6"/>
      <c r="L22" s="6"/>
      <c r="M22" s="6"/>
    </row>
    <row r="23" spans="1:13" s="103" customFormat="1" ht="12.75">
      <c r="A23" s="54">
        <v>16</v>
      </c>
      <c r="B23" s="57" t="s">
        <v>20</v>
      </c>
      <c r="C23" s="57">
        <v>0</v>
      </c>
      <c r="D23" s="57">
        <v>603</v>
      </c>
      <c r="E23" s="57">
        <v>15</v>
      </c>
      <c r="F23" s="57">
        <v>0</v>
      </c>
      <c r="G23" s="57">
        <v>0</v>
      </c>
      <c r="H23" s="57">
        <v>1002</v>
      </c>
      <c r="I23" s="57">
        <v>1313</v>
      </c>
      <c r="J23" s="57">
        <v>55</v>
      </c>
      <c r="K23" s="22"/>
      <c r="L23" s="22"/>
      <c r="M23" s="22"/>
    </row>
    <row r="24" spans="1:13" ht="12.75">
      <c r="A24" s="50">
        <v>17</v>
      </c>
      <c r="B24" s="51" t="s">
        <v>21</v>
      </c>
      <c r="C24" s="51">
        <v>1926</v>
      </c>
      <c r="D24" s="51">
        <v>2724</v>
      </c>
      <c r="E24" s="51">
        <v>247</v>
      </c>
      <c r="F24" s="51">
        <v>508</v>
      </c>
      <c r="G24" s="51">
        <v>837</v>
      </c>
      <c r="H24" s="57">
        <v>811</v>
      </c>
      <c r="I24" s="57">
        <v>977</v>
      </c>
      <c r="J24" s="51">
        <v>21</v>
      </c>
      <c r="K24" s="6"/>
      <c r="L24" s="6"/>
      <c r="M24" s="6"/>
    </row>
    <row r="25" spans="1:13" ht="12.75">
      <c r="A25" s="50">
        <v>18</v>
      </c>
      <c r="B25" s="51" t="s">
        <v>19</v>
      </c>
      <c r="C25" s="51">
        <v>250</v>
      </c>
      <c r="D25" s="51">
        <v>250</v>
      </c>
      <c r="E25" s="51">
        <v>5</v>
      </c>
      <c r="F25" s="51">
        <v>10</v>
      </c>
      <c r="G25" s="51">
        <v>20</v>
      </c>
      <c r="H25" s="57">
        <v>0</v>
      </c>
      <c r="I25" s="57">
        <v>0</v>
      </c>
      <c r="J25" s="51">
        <v>0</v>
      </c>
      <c r="K25" s="6"/>
      <c r="L25" s="6"/>
      <c r="M25" s="6"/>
    </row>
    <row r="26" spans="1:13" ht="12.75">
      <c r="A26" s="50">
        <v>19</v>
      </c>
      <c r="B26" s="51" t="s">
        <v>124</v>
      </c>
      <c r="C26" s="51">
        <v>0</v>
      </c>
      <c r="D26" s="51">
        <v>16</v>
      </c>
      <c r="E26" s="51">
        <v>0</v>
      </c>
      <c r="F26" s="51">
        <v>1</v>
      </c>
      <c r="G26" s="51">
        <v>0</v>
      </c>
      <c r="H26" s="57">
        <v>7</v>
      </c>
      <c r="I26" s="57">
        <v>7</v>
      </c>
      <c r="J26" s="51">
        <v>0</v>
      </c>
      <c r="K26" s="6"/>
      <c r="L26" s="6"/>
      <c r="M26" s="6"/>
    </row>
    <row r="27" spans="1:13" s="165" customFormat="1" ht="14.25">
      <c r="A27" s="163"/>
      <c r="B27" s="128" t="s">
        <v>224</v>
      </c>
      <c r="C27" s="128">
        <f aca="true" t="shared" si="0" ref="C27:J27">SUM(C8:C26)</f>
        <v>10895</v>
      </c>
      <c r="D27" s="128">
        <f t="shared" si="0"/>
        <v>5687</v>
      </c>
      <c r="E27" s="128">
        <f t="shared" si="0"/>
        <v>485</v>
      </c>
      <c r="F27" s="128">
        <f t="shared" si="0"/>
        <v>1067</v>
      </c>
      <c r="G27" s="128">
        <f t="shared" si="0"/>
        <v>1514</v>
      </c>
      <c r="H27" s="164">
        <f>SUM(H8:H26)</f>
        <v>12106</v>
      </c>
      <c r="I27" s="164">
        <f>SUM(I8:I26)</f>
        <v>10537</v>
      </c>
      <c r="J27" s="128">
        <f t="shared" si="0"/>
        <v>716</v>
      </c>
      <c r="K27" s="167"/>
      <c r="L27" s="167"/>
      <c r="M27" s="167"/>
    </row>
    <row r="28" spans="1:13" ht="12.75">
      <c r="A28" s="54">
        <v>20</v>
      </c>
      <c r="B28" s="51" t="s">
        <v>23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7">
        <v>0</v>
      </c>
      <c r="I28" s="57">
        <v>0</v>
      </c>
      <c r="J28" s="51">
        <v>0</v>
      </c>
      <c r="K28" s="6"/>
      <c r="L28" s="6"/>
      <c r="M28" s="6"/>
    </row>
    <row r="29" spans="1:13" ht="12.75">
      <c r="A29" s="54">
        <v>21</v>
      </c>
      <c r="B29" s="51" t="s">
        <v>269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7">
        <v>0</v>
      </c>
      <c r="I29" s="57">
        <v>0</v>
      </c>
      <c r="J29" s="51">
        <v>0</v>
      </c>
      <c r="K29" s="6"/>
      <c r="L29" s="6"/>
      <c r="M29" s="6"/>
    </row>
    <row r="30" spans="1:13" ht="12.75">
      <c r="A30" s="54">
        <v>22</v>
      </c>
      <c r="B30" s="51" t="s">
        <v>169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7">
        <v>0</v>
      </c>
      <c r="I30" s="57">
        <v>0</v>
      </c>
      <c r="J30" s="51">
        <v>0</v>
      </c>
      <c r="K30" s="6"/>
      <c r="L30" s="6"/>
      <c r="M30" s="6"/>
    </row>
    <row r="31" spans="1:13" ht="12.75">
      <c r="A31" s="54">
        <v>23</v>
      </c>
      <c r="B31" s="51" t="s">
        <v>22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7">
        <v>0</v>
      </c>
      <c r="I31" s="57">
        <v>0</v>
      </c>
      <c r="J31" s="51">
        <v>0</v>
      </c>
      <c r="K31" s="6"/>
      <c r="L31" s="6"/>
      <c r="M31" s="6"/>
    </row>
    <row r="32" spans="1:13" s="103" customFormat="1" ht="12.75">
      <c r="A32" s="54">
        <v>24</v>
      </c>
      <c r="B32" s="57" t="s">
        <v>141</v>
      </c>
      <c r="C32" s="57">
        <v>0</v>
      </c>
      <c r="D32" s="57">
        <v>310</v>
      </c>
      <c r="E32" s="57">
        <v>0</v>
      </c>
      <c r="F32" s="57">
        <v>0</v>
      </c>
      <c r="G32" s="57">
        <v>20</v>
      </c>
      <c r="H32" s="57">
        <v>94</v>
      </c>
      <c r="I32" s="57">
        <v>370</v>
      </c>
      <c r="J32" s="57">
        <v>0</v>
      </c>
      <c r="K32" s="22"/>
      <c r="L32" s="22"/>
      <c r="M32" s="22"/>
    </row>
    <row r="33" spans="1:13" ht="12.75">
      <c r="A33" s="54">
        <v>25</v>
      </c>
      <c r="B33" s="51" t="s">
        <v>18</v>
      </c>
      <c r="C33" s="51">
        <v>4250</v>
      </c>
      <c r="D33" s="51">
        <v>84</v>
      </c>
      <c r="E33" s="51">
        <v>5</v>
      </c>
      <c r="F33" s="51">
        <v>9</v>
      </c>
      <c r="G33" s="51">
        <v>6</v>
      </c>
      <c r="H33" s="57">
        <v>36954</v>
      </c>
      <c r="I33" s="57">
        <v>12826</v>
      </c>
      <c r="J33" s="51">
        <v>1612</v>
      </c>
      <c r="K33" s="6"/>
      <c r="L33" s="6"/>
      <c r="M33" s="6"/>
    </row>
    <row r="34" spans="1:13" ht="12.75">
      <c r="A34" s="54">
        <v>26</v>
      </c>
      <c r="B34" s="51" t="s">
        <v>104</v>
      </c>
      <c r="C34" s="51">
        <v>10000</v>
      </c>
      <c r="D34" s="51">
        <v>2487</v>
      </c>
      <c r="E34" s="51">
        <v>83</v>
      </c>
      <c r="F34" s="51">
        <v>308</v>
      </c>
      <c r="G34" s="51">
        <v>215</v>
      </c>
      <c r="H34" s="57">
        <v>4965</v>
      </c>
      <c r="I34" s="57">
        <v>5051</v>
      </c>
      <c r="J34" s="51">
        <v>398</v>
      </c>
      <c r="K34" s="6"/>
      <c r="L34" s="6"/>
      <c r="M34" s="6"/>
    </row>
    <row r="35" spans="1:13" s="165" customFormat="1" ht="14.25">
      <c r="A35" s="163"/>
      <c r="B35" s="128" t="s">
        <v>226</v>
      </c>
      <c r="C35" s="128">
        <f aca="true" t="shared" si="1" ref="C35:J35">SUM(C28:C34)</f>
        <v>14250</v>
      </c>
      <c r="D35" s="128">
        <f t="shared" si="1"/>
        <v>2881</v>
      </c>
      <c r="E35" s="128">
        <f t="shared" si="1"/>
        <v>88</v>
      </c>
      <c r="F35" s="128">
        <f t="shared" si="1"/>
        <v>317</v>
      </c>
      <c r="G35" s="128">
        <f t="shared" si="1"/>
        <v>241</v>
      </c>
      <c r="H35" s="164">
        <f>SUM(H28:H34)</f>
        <v>42013</v>
      </c>
      <c r="I35" s="164">
        <f>SUM(I28:I34)</f>
        <v>18247</v>
      </c>
      <c r="J35" s="128">
        <f t="shared" si="1"/>
        <v>2010</v>
      </c>
      <c r="K35" s="167"/>
      <c r="L35" s="167"/>
      <c r="M35" s="167"/>
    </row>
    <row r="36" spans="1:13" ht="12.75">
      <c r="A36" s="54">
        <v>27</v>
      </c>
      <c r="B36" s="51" t="s">
        <v>163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7">
        <v>0</v>
      </c>
      <c r="I36" s="57">
        <v>0</v>
      </c>
      <c r="J36" s="51">
        <v>0</v>
      </c>
      <c r="K36" s="6"/>
      <c r="L36" s="6"/>
      <c r="M36" s="6"/>
    </row>
    <row r="37" spans="1:13" s="103" customFormat="1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22"/>
      <c r="L37" s="22"/>
      <c r="M37" s="22"/>
    </row>
    <row r="38" spans="1:13" ht="12.75">
      <c r="A38" s="54">
        <v>29</v>
      </c>
      <c r="B38" s="51" t="s">
        <v>218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7">
        <v>0</v>
      </c>
      <c r="I38" s="57">
        <v>0</v>
      </c>
      <c r="J38" s="51">
        <v>0</v>
      </c>
      <c r="K38" s="6"/>
      <c r="L38" s="6"/>
      <c r="M38" s="6"/>
    </row>
    <row r="39" spans="1:13" ht="12.75">
      <c r="A39" s="54">
        <v>30</v>
      </c>
      <c r="B39" s="51" t="s">
        <v>236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7">
        <v>0</v>
      </c>
      <c r="I39" s="57">
        <v>0</v>
      </c>
      <c r="J39" s="51">
        <v>0</v>
      </c>
      <c r="K39" s="6"/>
      <c r="L39" s="6"/>
      <c r="M39" s="6"/>
    </row>
    <row r="40" spans="1:13" s="103" customFormat="1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22"/>
      <c r="L40" s="22"/>
      <c r="M40" s="22"/>
    </row>
    <row r="41" spans="1:13" ht="12.75">
      <c r="A41" s="54">
        <v>32</v>
      </c>
      <c r="B41" s="51" t="s">
        <v>220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7">
        <v>0</v>
      </c>
      <c r="I41" s="57">
        <v>0</v>
      </c>
      <c r="J41" s="51">
        <v>0</v>
      </c>
      <c r="K41" s="6"/>
      <c r="L41" s="6"/>
      <c r="M41" s="6"/>
    </row>
    <row r="42" spans="1:13" ht="12.75">
      <c r="A42" s="110">
        <v>33</v>
      </c>
      <c r="B42" s="113" t="s">
        <v>363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7">
        <v>0</v>
      </c>
      <c r="I42" s="57">
        <v>0</v>
      </c>
      <c r="J42" s="51">
        <v>0</v>
      </c>
      <c r="K42" s="6"/>
      <c r="L42" s="6"/>
      <c r="M42" s="6"/>
    </row>
    <row r="43" spans="1:13" s="103" customFormat="1" ht="12.75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22"/>
      <c r="L43" s="22"/>
      <c r="M43" s="22"/>
    </row>
    <row r="44" spans="1:13" ht="12.75">
      <c r="A44" s="54">
        <v>35</v>
      </c>
      <c r="B44" s="51" t="s">
        <v>256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7">
        <v>0</v>
      </c>
      <c r="I44" s="57">
        <v>0</v>
      </c>
      <c r="J44" s="51">
        <v>0</v>
      </c>
      <c r="K44" s="6"/>
      <c r="L44" s="6"/>
      <c r="M44" s="6"/>
    </row>
    <row r="45" spans="1:13" ht="12.75">
      <c r="A45" s="54">
        <v>36</v>
      </c>
      <c r="B45" s="51" t="s">
        <v>24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7">
        <v>0</v>
      </c>
      <c r="I45" s="57">
        <v>0</v>
      </c>
      <c r="J45" s="51">
        <v>0</v>
      </c>
      <c r="K45" s="6"/>
      <c r="L45" s="6"/>
      <c r="M45" s="6"/>
    </row>
    <row r="46" spans="1:13" ht="12.75">
      <c r="A46" s="54">
        <v>37</v>
      </c>
      <c r="B46" s="51" t="s">
        <v>223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7">
        <v>0</v>
      </c>
      <c r="I46" s="57">
        <v>0</v>
      </c>
      <c r="J46" s="51">
        <v>0</v>
      </c>
      <c r="K46" s="6"/>
      <c r="L46" s="6"/>
      <c r="M46" s="6"/>
    </row>
    <row r="47" spans="1:13" ht="12.75">
      <c r="A47" s="54">
        <v>38</v>
      </c>
      <c r="B47" s="51" t="s">
        <v>364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7">
        <v>0</v>
      </c>
      <c r="I47" s="57">
        <v>0</v>
      </c>
      <c r="J47" s="51">
        <v>0</v>
      </c>
      <c r="K47" s="6"/>
      <c r="L47" s="6"/>
      <c r="M47" s="6"/>
    </row>
    <row r="48" spans="1:13" ht="12.75">
      <c r="A48" s="54">
        <v>39</v>
      </c>
      <c r="B48" s="51" t="s">
        <v>366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7">
        <v>0</v>
      </c>
      <c r="I48" s="57">
        <v>0</v>
      </c>
      <c r="J48" s="51">
        <v>0</v>
      </c>
      <c r="K48" s="6"/>
      <c r="L48" s="6"/>
      <c r="M48" s="6"/>
    </row>
    <row r="49" spans="1:13" s="165" customFormat="1" ht="14.25">
      <c r="A49" s="163"/>
      <c r="B49" s="128" t="s">
        <v>225</v>
      </c>
      <c r="C49" s="128">
        <f aca="true" t="shared" si="2" ref="C49:J49">SUM(C36:C48)</f>
        <v>0</v>
      </c>
      <c r="D49" s="128">
        <f t="shared" si="2"/>
        <v>0</v>
      </c>
      <c r="E49" s="128">
        <f t="shared" si="2"/>
        <v>0</v>
      </c>
      <c r="F49" s="128">
        <f t="shared" si="2"/>
        <v>0</v>
      </c>
      <c r="G49" s="128">
        <f t="shared" si="2"/>
        <v>0</v>
      </c>
      <c r="H49" s="164">
        <f t="shared" si="2"/>
        <v>0</v>
      </c>
      <c r="I49" s="164">
        <f t="shared" si="2"/>
        <v>0</v>
      </c>
      <c r="J49" s="128">
        <f t="shared" si="2"/>
        <v>0</v>
      </c>
      <c r="K49" s="167"/>
      <c r="L49" s="167"/>
      <c r="M49" s="167"/>
    </row>
    <row r="50" spans="1:10" s="165" customFormat="1" ht="14.25">
      <c r="A50" s="163"/>
      <c r="B50" s="87" t="s">
        <v>123</v>
      </c>
      <c r="C50" s="128">
        <f aca="true" t="shared" si="3" ref="C50:J50">C27+C35+C49</f>
        <v>25145</v>
      </c>
      <c r="D50" s="128">
        <f t="shared" si="3"/>
        <v>8568</v>
      </c>
      <c r="E50" s="128">
        <f t="shared" si="3"/>
        <v>573</v>
      </c>
      <c r="F50" s="128">
        <f t="shared" si="3"/>
        <v>1384</v>
      </c>
      <c r="G50" s="128">
        <f t="shared" si="3"/>
        <v>1755</v>
      </c>
      <c r="H50" s="164">
        <f t="shared" si="3"/>
        <v>54119</v>
      </c>
      <c r="I50" s="164">
        <f t="shared" si="3"/>
        <v>28784</v>
      </c>
      <c r="J50" s="128">
        <f t="shared" si="3"/>
        <v>2726</v>
      </c>
    </row>
    <row r="51" spans="2:10" ht="15" customHeight="1">
      <c r="B51" s="2"/>
      <c r="C51" s="2"/>
      <c r="D51" s="2"/>
      <c r="E51" s="2"/>
      <c r="F51" s="8"/>
      <c r="G51" s="8"/>
      <c r="H51" s="22"/>
      <c r="I51" s="22"/>
      <c r="J51" s="8"/>
    </row>
    <row r="52" spans="2:10" ht="15" customHeight="1">
      <c r="B52" s="2"/>
      <c r="C52" s="2"/>
      <c r="D52" s="2"/>
      <c r="E52" s="2"/>
      <c r="F52" s="8"/>
      <c r="G52" s="8"/>
      <c r="H52" s="22"/>
      <c r="I52" s="19"/>
      <c r="J52" s="8"/>
    </row>
    <row r="53" spans="2:9" ht="15" customHeight="1">
      <c r="B53" s="2"/>
      <c r="C53" s="2"/>
      <c r="H53" s="22"/>
      <c r="I53" s="19"/>
    </row>
    <row r="54" spans="1:10" ht="12.75">
      <c r="A54" s="25" t="s">
        <v>122</v>
      </c>
      <c r="B54" s="25" t="s">
        <v>5</v>
      </c>
      <c r="C54" s="732" t="s">
        <v>75</v>
      </c>
      <c r="D54" s="724" t="s">
        <v>125</v>
      </c>
      <c r="E54" s="724" t="s">
        <v>178</v>
      </c>
      <c r="F54" s="724" t="s">
        <v>179</v>
      </c>
      <c r="G54" s="724" t="s">
        <v>180</v>
      </c>
      <c r="H54" s="726" t="s">
        <v>259</v>
      </c>
      <c r="I54" s="727"/>
      <c r="J54" s="724" t="s">
        <v>233</v>
      </c>
    </row>
    <row r="55" spans="1:10" ht="12.75">
      <c r="A55" s="70" t="s">
        <v>6</v>
      </c>
      <c r="B55" s="76"/>
      <c r="C55" s="733"/>
      <c r="D55" s="725"/>
      <c r="E55" s="725"/>
      <c r="F55" s="725"/>
      <c r="G55" s="725"/>
      <c r="H55" s="728"/>
      <c r="I55" s="729"/>
      <c r="J55" s="725"/>
    </row>
    <row r="56" spans="1:10" ht="12.75">
      <c r="A56" s="88"/>
      <c r="B56" s="26"/>
      <c r="C56" s="26"/>
      <c r="D56" s="93"/>
      <c r="E56" s="93"/>
      <c r="F56" s="93"/>
      <c r="G56" s="93"/>
      <c r="H56" s="601" t="s">
        <v>57</v>
      </c>
      <c r="I56" s="602" t="s">
        <v>63</v>
      </c>
      <c r="J56" s="94"/>
    </row>
    <row r="57" spans="1:10" ht="12.75">
      <c r="A57" s="54">
        <v>40</v>
      </c>
      <c r="B57" s="57" t="s">
        <v>78</v>
      </c>
      <c r="C57" s="49">
        <v>600</v>
      </c>
      <c r="D57" s="49">
        <v>500</v>
      </c>
      <c r="E57" s="49">
        <v>22</v>
      </c>
      <c r="F57" s="49">
        <v>170</v>
      </c>
      <c r="G57" s="49">
        <v>35</v>
      </c>
      <c r="H57" s="145">
        <v>629</v>
      </c>
      <c r="I57" s="145">
        <v>417</v>
      </c>
      <c r="J57" s="49">
        <v>0</v>
      </c>
    </row>
    <row r="58" spans="1:10" ht="12.75">
      <c r="A58" s="54">
        <v>41</v>
      </c>
      <c r="B58" s="57" t="s">
        <v>278</v>
      </c>
      <c r="C58" s="49">
        <v>824</v>
      </c>
      <c r="D58" s="49">
        <v>1820</v>
      </c>
      <c r="E58" s="49">
        <v>42</v>
      </c>
      <c r="F58" s="49">
        <v>49</v>
      </c>
      <c r="G58" s="49">
        <v>41</v>
      </c>
      <c r="H58" s="145">
        <v>543</v>
      </c>
      <c r="I58" s="145">
        <v>187</v>
      </c>
      <c r="J58" s="49">
        <v>5</v>
      </c>
    </row>
    <row r="59" spans="1:10" ht="12.75">
      <c r="A59" s="54">
        <v>42</v>
      </c>
      <c r="B59" s="57" t="s">
        <v>30</v>
      </c>
      <c r="C59" s="49">
        <v>500</v>
      </c>
      <c r="D59" s="49">
        <v>59</v>
      </c>
      <c r="E59" s="49">
        <v>4</v>
      </c>
      <c r="F59" s="49">
        <v>16</v>
      </c>
      <c r="G59" s="49">
        <v>17</v>
      </c>
      <c r="H59" s="145">
        <v>244</v>
      </c>
      <c r="I59" s="145">
        <v>124</v>
      </c>
      <c r="J59" s="49">
        <v>0</v>
      </c>
    </row>
    <row r="60" spans="1:10" ht="12.75">
      <c r="A60" s="54">
        <v>43</v>
      </c>
      <c r="B60" s="57" t="s">
        <v>234</v>
      </c>
      <c r="C60" s="49">
        <v>700</v>
      </c>
      <c r="D60" s="49">
        <v>1644</v>
      </c>
      <c r="E60" s="49">
        <v>44</v>
      </c>
      <c r="F60" s="49">
        <v>870</v>
      </c>
      <c r="G60" s="49">
        <v>157</v>
      </c>
      <c r="H60" s="145">
        <v>2805</v>
      </c>
      <c r="I60" s="145">
        <v>846</v>
      </c>
      <c r="J60" s="49">
        <v>32</v>
      </c>
    </row>
    <row r="61" spans="1:10" ht="12.75">
      <c r="A61" s="54">
        <v>44</v>
      </c>
      <c r="B61" s="57" t="s">
        <v>29</v>
      </c>
      <c r="C61" s="49">
        <v>500</v>
      </c>
      <c r="D61" s="49">
        <v>65</v>
      </c>
      <c r="E61" s="49">
        <v>139</v>
      </c>
      <c r="F61" s="49">
        <v>28</v>
      </c>
      <c r="G61" s="49">
        <v>29</v>
      </c>
      <c r="H61" s="145">
        <v>759</v>
      </c>
      <c r="I61" s="145">
        <v>360</v>
      </c>
      <c r="J61" s="49">
        <v>9</v>
      </c>
    </row>
    <row r="62" spans="1:10" ht="12.75">
      <c r="A62" s="54">
        <v>45</v>
      </c>
      <c r="B62" s="57" t="s">
        <v>391</v>
      </c>
      <c r="C62" s="49">
        <v>2000</v>
      </c>
      <c r="D62" s="49">
        <v>771</v>
      </c>
      <c r="E62" s="49">
        <v>101</v>
      </c>
      <c r="F62" s="49">
        <v>220</v>
      </c>
      <c r="G62" s="49">
        <v>113</v>
      </c>
      <c r="H62" s="145">
        <v>3041</v>
      </c>
      <c r="I62" s="145">
        <v>1609</v>
      </c>
      <c r="J62" s="49">
        <v>27</v>
      </c>
    </row>
    <row r="63" spans="1:10" ht="12.75">
      <c r="A63" s="54">
        <v>46</v>
      </c>
      <c r="B63" s="57" t="s">
        <v>25</v>
      </c>
      <c r="C63" s="49">
        <v>500</v>
      </c>
      <c r="D63" s="49">
        <v>145</v>
      </c>
      <c r="E63" s="49">
        <v>17</v>
      </c>
      <c r="F63" s="49">
        <v>81</v>
      </c>
      <c r="G63" s="49">
        <v>35</v>
      </c>
      <c r="H63" s="145">
        <v>1734</v>
      </c>
      <c r="I63" s="145">
        <v>191</v>
      </c>
      <c r="J63" s="49">
        <v>0</v>
      </c>
    </row>
    <row r="64" spans="1:10" ht="12.75">
      <c r="A64" s="54">
        <v>47</v>
      </c>
      <c r="B64" s="57" t="s">
        <v>28</v>
      </c>
      <c r="C64" s="49">
        <v>500</v>
      </c>
      <c r="D64" s="49">
        <v>99</v>
      </c>
      <c r="E64" s="49">
        <v>1</v>
      </c>
      <c r="F64" s="49">
        <v>18</v>
      </c>
      <c r="G64" s="49">
        <v>8</v>
      </c>
      <c r="H64" s="145">
        <v>88</v>
      </c>
      <c r="I64" s="145">
        <v>48</v>
      </c>
      <c r="J64" s="49">
        <v>2</v>
      </c>
    </row>
    <row r="65" spans="1:10" s="170" customFormat="1" ht="15">
      <c r="A65" s="54"/>
      <c r="B65" s="169" t="s">
        <v>123</v>
      </c>
      <c r="C65" s="135">
        <f aca="true" t="shared" si="4" ref="C65:J65">SUM(C57:C64)</f>
        <v>6124</v>
      </c>
      <c r="D65" s="135">
        <f t="shared" si="4"/>
        <v>5103</v>
      </c>
      <c r="E65" s="135">
        <f t="shared" si="4"/>
        <v>370</v>
      </c>
      <c r="F65" s="135">
        <f t="shared" si="4"/>
        <v>1452</v>
      </c>
      <c r="G65" s="135">
        <f t="shared" si="4"/>
        <v>435</v>
      </c>
      <c r="H65" s="184">
        <f t="shared" si="4"/>
        <v>9843</v>
      </c>
      <c r="I65" s="184">
        <f t="shared" si="4"/>
        <v>3782</v>
      </c>
      <c r="J65" s="135">
        <f t="shared" si="4"/>
        <v>75</v>
      </c>
    </row>
    <row r="66" spans="1:10" ht="12.75">
      <c r="A66" s="54"/>
      <c r="B66" t="s">
        <v>36</v>
      </c>
      <c r="C66" s="49"/>
      <c r="D66" s="49"/>
      <c r="E66" s="49"/>
      <c r="F66" s="49"/>
      <c r="G66" s="49"/>
      <c r="H66" s="145"/>
      <c r="I66" s="145"/>
      <c r="J66" s="49"/>
    </row>
    <row r="67" spans="1:10" ht="12.75">
      <c r="A67" s="54">
        <v>48</v>
      </c>
      <c r="B67" s="49" t="s">
        <v>34</v>
      </c>
      <c r="C67" s="49">
        <v>0</v>
      </c>
      <c r="D67" s="49">
        <v>14628</v>
      </c>
      <c r="E67" s="49">
        <v>408</v>
      </c>
      <c r="F67" s="49">
        <v>0</v>
      </c>
      <c r="G67" s="49">
        <v>5</v>
      </c>
      <c r="H67" s="145">
        <v>9130</v>
      </c>
      <c r="I67" s="145">
        <v>970</v>
      </c>
      <c r="J67" s="49">
        <v>0</v>
      </c>
    </row>
    <row r="68" spans="1:10" ht="12.75">
      <c r="A68" s="54">
        <v>49</v>
      </c>
      <c r="B68" s="49" t="s">
        <v>130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145">
        <v>0</v>
      </c>
      <c r="I68" s="145">
        <v>0</v>
      </c>
      <c r="J68" s="49">
        <v>0</v>
      </c>
    </row>
    <row r="69" spans="1:10" s="170" customFormat="1" ht="15">
      <c r="A69" s="168"/>
      <c r="B69" s="169" t="s">
        <v>123</v>
      </c>
      <c r="C69" s="135">
        <f aca="true" t="shared" si="5" ref="C69:J69">SUM(C67:C68)</f>
        <v>0</v>
      </c>
      <c r="D69" s="135">
        <f t="shared" si="5"/>
        <v>14628</v>
      </c>
      <c r="E69" s="135">
        <f t="shared" si="5"/>
        <v>408</v>
      </c>
      <c r="F69" s="135">
        <f t="shared" si="5"/>
        <v>0</v>
      </c>
      <c r="G69" s="135">
        <f t="shared" si="5"/>
        <v>5</v>
      </c>
      <c r="H69" s="184">
        <f>SUM(H67:H68)</f>
        <v>9130</v>
      </c>
      <c r="I69" s="184">
        <f>SUM(I67:I68)</f>
        <v>970</v>
      </c>
      <c r="J69" s="135">
        <f t="shared" si="5"/>
        <v>0</v>
      </c>
    </row>
    <row r="70" spans="1:10" s="170" customFormat="1" ht="15">
      <c r="A70" s="168"/>
      <c r="B70" s="169" t="s">
        <v>35</v>
      </c>
      <c r="C70" s="135">
        <f aca="true" t="shared" si="6" ref="C70:J70">+C50+C65+C69</f>
        <v>31269</v>
      </c>
      <c r="D70" s="135">
        <f t="shared" si="6"/>
        <v>28299</v>
      </c>
      <c r="E70" s="135">
        <f t="shared" si="6"/>
        <v>1351</v>
      </c>
      <c r="F70" s="135">
        <f t="shared" si="6"/>
        <v>2836</v>
      </c>
      <c r="G70" s="135">
        <f t="shared" si="6"/>
        <v>2195</v>
      </c>
      <c r="H70" s="184">
        <f t="shared" si="6"/>
        <v>73092</v>
      </c>
      <c r="I70" s="184">
        <f t="shared" si="6"/>
        <v>33536</v>
      </c>
      <c r="J70" s="135">
        <f t="shared" si="6"/>
        <v>2801</v>
      </c>
    </row>
    <row r="73" ht="12.75">
      <c r="C73">
        <v>11</v>
      </c>
    </row>
    <row r="74" ht="12.75">
      <c r="C74">
        <v>11</v>
      </c>
    </row>
  </sheetData>
  <sheetProtection/>
  <mergeCells count="14">
    <mergeCell ref="C5:C6"/>
    <mergeCell ref="C54:C55"/>
    <mergeCell ref="D4:D6"/>
    <mergeCell ref="E4:E6"/>
    <mergeCell ref="D54:D55"/>
    <mergeCell ref="E54:E55"/>
    <mergeCell ref="J54:J55"/>
    <mergeCell ref="J4:J6"/>
    <mergeCell ref="F54:F55"/>
    <mergeCell ref="G54:G55"/>
    <mergeCell ref="F4:F6"/>
    <mergeCell ref="G4:G6"/>
    <mergeCell ref="H5:I6"/>
    <mergeCell ref="H54:I55"/>
  </mergeCells>
  <printOptions gridLines="1" horizontalCentered="1"/>
  <pageMargins left="0.75" right="0.75" top="0.43" bottom="0.56" header="0.38" footer="0.4"/>
  <pageSetup blackAndWhite="1" horizontalDpi="600" verticalDpi="600" orientation="landscape" paperSize="9" scale="81" r:id="rId2"/>
  <rowBreaks count="1" manualBreakCount="1">
    <brk id="5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72"/>
  <sheetViews>
    <sheetView zoomScale="120" zoomScaleNormal="120" zoomScalePageLayoutView="0" workbookViewId="0" topLeftCell="C43">
      <selection activeCell="A10" sqref="A1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17.421875" style="6" customWidth="1"/>
    <col min="5" max="5" width="17.421875" style="22" customWidth="1"/>
    <col min="6" max="6" width="17.421875" style="7" customWidth="1"/>
    <col min="7" max="7" width="17.421875" style="6" customWidth="1"/>
  </cols>
  <sheetData>
    <row r="1" spans="1:7" ht="14.25">
      <c r="A1" s="27"/>
      <c r="B1" s="27"/>
      <c r="C1" s="63"/>
      <c r="D1" s="96"/>
      <c r="E1" s="36"/>
      <c r="F1" s="34"/>
      <c r="G1" s="96"/>
    </row>
    <row r="2" spans="1:7" ht="14.25">
      <c r="A2" s="31"/>
      <c r="B2" s="31"/>
      <c r="C2" s="78"/>
      <c r="D2" s="96"/>
      <c r="E2" s="36"/>
      <c r="F2" s="34"/>
      <c r="G2" s="96"/>
    </row>
    <row r="3" spans="1:7" ht="15.75" customHeight="1">
      <c r="A3" s="31"/>
      <c r="B3" s="31"/>
      <c r="C3" s="78"/>
      <c r="D3" s="96"/>
      <c r="E3" s="36"/>
      <c r="F3" s="34"/>
      <c r="G3" s="96"/>
    </row>
    <row r="4" spans="1:7" ht="12.75">
      <c r="A4" s="43" t="s">
        <v>122</v>
      </c>
      <c r="B4" s="43" t="s">
        <v>5</v>
      </c>
      <c r="C4" s="81" t="s">
        <v>75</v>
      </c>
      <c r="D4" s="81" t="s">
        <v>210</v>
      </c>
      <c r="E4" s="55" t="s">
        <v>63</v>
      </c>
      <c r="F4" s="55" t="s">
        <v>63</v>
      </c>
      <c r="G4" s="81" t="s">
        <v>213</v>
      </c>
    </row>
    <row r="5" spans="1:7" ht="12.75">
      <c r="A5" s="47" t="s">
        <v>6</v>
      </c>
      <c r="B5" s="71"/>
      <c r="C5" s="95"/>
      <c r="D5" s="91" t="s">
        <v>211</v>
      </c>
      <c r="E5" s="56" t="s">
        <v>107</v>
      </c>
      <c r="F5" s="56" t="s">
        <v>150</v>
      </c>
      <c r="G5" s="91" t="s">
        <v>214</v>
      </c>
    </row>
    <row r="6" spans="1:7" s="117" customFormat="1" ht="12.75">
      <c r="A6" s="115">
        <v>1</v>
      </c>
      <c r="B6" s="116" t="s">
        <v>7</v>
      </c>
      <c r="C6" s="116">
        <v>310</v>
      </c>
      <c r="D6" s="116">
        <v>48</v>
      </c>
      <c r="E6" s="116">
        <v>19</v>
      </c>
      <c r="F6" s="116">
        <v>16</v>
      </c>
      <c r="G6" s="116">
        <v>936</v>
      </c>
    </row>
    <row r="7" spans="1:7" s="117" customFormat="1" ht="12.75">
      <c r="A7" s="115">
        <v>2</v>
      </c>
      <c r="B7" s="116" t="s">
        <v>8</v>
      </c>
      <c r="C7" s="116">
        <v>16</v>
      </c>
      <c r="D7" s="116">
        <v>0</v>
      </c>
      <c r="E7" s="116">
        <v>0</v>
      </c>
      <c r="F7" s="116">
        <v>0</v>
      </c>
      <c r="G7" s="116">
        <v>9</v>
      </c>
    </row>
    <row r="8" spans="1:7" s="117" customFormat="1" ht="12.75">
      <c r="A8" s="115">
        <v>3</v>
      </c>
      <c r="B8" s="116" t="s">
        <v>9</v>
      </c>
      <c r="C8" s="116">
        <v>146</v>
      </c>
      <c r="D8" s="116">
        <v>9</v>
      </c>
      <c r="E8" s="116">
        <v>3</v>
      </c>
      <c r="F8" s="116">
        <v>3</v>
      </c>
      <c r="G8" s="116">
        <v>230</v>
      </c>
    </row>
    <row r="9" spans="1:7" ht="12.75">
      <c r="A9" s="50">
        <v>4</v>
      </c>
      <c r="B9" s="51" t="s">
        <v>10</v>
      </c>
      <c r="C9" s="51">
        <v>540</v>
      </c>
      <c r="D9" s="51">
        <v>237</v>
      </c>
      <c r="E9" s="51">
        <v>49</v>
      </c>
      <c r="F9" s="51">
        <v>41</v>
      </c>
      <c r="G9" s="51">
        <v>5252</v>
      </c>
    </row>
    <row r="10" spans="1:7" ht="12.75">
      <c r="A10" s="50">
        <v>5</v>
      </c>
      <c r="B10" s="51" t="s">
        <v>11</v>
      </c>
      <c r="C10" s="51">
        <v>226</v>
      </c>
      <c r="D10" s="51">
        <v>14</v>
      </c>
      <c r="E10" s="51">
        <v>3</v>
      </c>
      <c r="F10" s="51">
        <v>3</v>
      </c>
      <c r="G10" s="51">
        <v>256</v>
      </c>
    </row>
    <row r="11" spans="1:7" ht="12.75">
      <c r="A11" s="50">
        <v>6</v>
      </c>
      <c r="B11" s="51" t="s">
        <v>12</v>
      </c>
      <c r="C11" s="51">
        <v>90</v>
      </c>
      <c r="D11" s="51">
        <v>51</v>
      </c>
      <c r="E11" s="51">
        <v>14</v>
      </c>
      <c r="F11" s="51">
        <v>14</v>
      </c>
      <c r="G11" s="51">
        <v>96</v>
      </c>
    </row>
    <row r="12" spans="1:8" s="103" customFormat="1" ht="12.75">
      <c r="A12" s="54">
        <v>7</v>
      </c>
      <c r="B12" s="57" t="s">
        <v>13</v>
      </c>
      <c r="C12" s="57">
        <v>750</v>
      </c>
      <c r="D12" s="57">
        <v>149</v>
      </c>
      <c r="E12" s="57">
        <v>74</v>
      </c>
      <c r="F12" s="57">
        <v>62</v>
      </c>
      <c r="G12" s="57">
        <v>2035</v>
      </c>
      <c r="H12" s="100"/>
    </row>
    <row r="13" spans="1:7" s="103" customFormat="1" ht="12.75">
      <c r="A13" s="54">
        <v>8</v>
      </c>
      <c r="B13" s="57" t="s">
        <v>162</v>
      </c>
      <c r="C13" s="57">
        <v>34</v>
      </c>
      <c r="D13" s="57">
        <v>0</v>
      </c>
      <c r="E13" s="57">
        <v>0</v>
      </c>
      <c r="F13" s="57">
        <v>0</v>
      </c>
      <c r="G13" s="57">
        <v>0</v>
      </c>
    </row>
    <row r="14" spans="1:7" ht="12.75">
      <c r="A14" s="50">
        <v>9</v>
      </c>
      <c r="B14" s="51" t="s">
        <v>14</v>
      </c>
      <c r="C14" s="51">
        <v>72</v>
      </c>
      <c r="D14" s="51">
        <v>0</v>
      </c>
      <c r="E14" s="51">
        <v>0</v>
      </c>
      <c r="F14" s="51">
        <v>0</v>
      </c>
      <c r="G14" s="51">
        <v>71</v>
      </c>
    </row>
    <row r="15" spans="1:7" ht="12.75">
      <c r="A15" s="50">
        <v>10</v>
      </c>
      <c r="B15" s="51" t="s">
        <v>15</v>
      </c>
      <c r="C15" s="51">
        <v>20</v>
      </c>
      <c r="D15" s="51">
        <v>1</v>
      </c>
      <c r="E15" s="51">
        <v>15</v>
      </c>
      <c r="F15" s="51">
        <v>0</v>
      </c>
      <c r="G15" s="51">
        <v>6</v>
      </c>
    </row>
    <row r="16" spans="1:7" ht="12.75">
      <c r="A16" s="50">
        <v>11</v>
      </c>
      <c r="B16" s="51" t="s">
        <v>16</v>
      </c>
      <c r="C16" s="51">
        <v>28</v>
      </c>
      <c r="D16" s="51">
        <v>0</v>
      </c>
      <c r="E16" s="51">
        <v>0</v>
      </c>
      <c r="F16" s="51">
        <v>0</v>
      </c>
      <c r="G16" s="51">
        <v>75</v>
      </c>
    </row>
    <row r="17" spans="1:7" ht="12.75">
      <c r="A17" s="50">
        <v>12</v>
      </c>
      <c r="B17" s="51" t="s">
        <v>17</v>
      </c>
      <c r="C17" s="51">
        <v>96</v>
      </c>
      <c r="D17" s="51">
        <v>0</v>
      </c>
      <c r="E17" s="51">
        <v>0</v>
      </c>
      <c r="F17" s="51">
        <v>0</v>
      </c>
      <c r="G17" s="51">
        <v>0</v>
      </c>
    </row>
    <row r="18" spans="1:7" ht="12.75">
      <c r="A18" s="50">
        <v>13</v>
      </c>
      <c r="B18" s="51" t="s">
        <v>164</v>
      </c>
      <c r="C18" s="51">
        <v>52</v>
      </c>
      <c r="D18" s="51">
        <v>6</v>
      </c>
      <c r="E18" s="51">
        <v>4</v>
      </c>
      <c r="F18" s="51">
        <v>2</v>
      </c>
      <c r="G18" s="51">
        <v>14</v>
      </c>
    </row>
    <row r="19" spans="1:7" ht="12.75">
      <c r="A19" s="50">
        <v>14</v>
      </c>
      <c r="B19" s="51" t="s">
        <v>77</v>
      </c>
      <c r="C19" s="51">
        <v>334</v>
      </c>
      <c r="D19" s="51">
        <v>8</v>
      </c>
      <c r="E19" s="51">
        <v>1</v>
      </c>
      <c r="F19" s="51">
        <v>1</v>
      </c>
      <c r="G19" s="51">
        <v>124</v>
      </c>
    </row>
    <row r="20" spans="1:7" ht="12.75">
      <c r="A20" s="50">
        <v>15</v>
      </c>
      <c r="B20" s="51" t="s">
        <v>105</v>
      </c>
      <c r="C20" s="51">
        <v>94</v>
      </c>
      <c r="D20" s="51">
        <v>0</v>
      </c>
      <c r="E20" s="51">
        <v>0</v>
      </c>
      <c r="F20" s="51">
        <v>0</v>
      </c>
      <c r="G20" s="51">
        <v>0</v>
      </c>
    </row>
    <row r="21" spans="1:7" s="103" customFormat="1" ht="12.75">
      <c r="A21" s="54">
        <v>16</v>
      </c>
      <c r="B21" s="57" t="s">
        <v>20</v>
      </c>
      <c r="C21" s="57">
        <v>218</v>
      </c>
      <c r="D21" s="57">
        <v>315</v>
      </c>
      <c r="E21" s="57">
        <v>48</v>
      </c>
      <c r="F21" s="57">
        <v>48</v>
      </c>
      <c r="G21" s="57">
        <v>2685</v>
      </c>
    </row>
    <row r="22" spans="1:7" ht="12.75">
      <c r="A22" s="50">
        <v>17</v>
      </c>
      <c r="B22" s="51" t="s">
        <v>21</v>
      </c>
      <c r="C22" s="51">
        <v>354</v>
      </c>
      <c r="D22" s="51">
        <v>0</v>
      </c>
      <c r="E22" s="51">
        <v>0</v>
      </c>
      <c r="F22" s="51">
        <v>0</v>
      </c>
      <c r="G22" s="51">
        <v>0</v>
      </c>
    </row>
    <row r="23" spans="1:7" ht="12.75">
      <c r="A23" s="50">
        <v>18</v>
      </c>
      <c r="B23" s="51" t="s">
        <v>19</v>
      </c>
      <c r="C23" s="51">
        <v>20</v>
      </c>
      <c r="D23" s="51">
        <v>0</v>
      </c>
      <c r="E23" s="51">
        <v>0</v>
      </c>
      <c r="F23" s="51">
        <v>0</v>
      </c>
      <c r="G23" s="51">
        <v>0</v>
      </c>
    </row>
    <row r="24" spans="1:8" ht="12.75">
      <c r="A24" s="50">
        <v>19</v>
      </c>
      <c r="B24" s="51" t="s">
        <v>124</v>
      </c>
      <c r="C24" s="51">
        <v>24</v>
      </c>
      <c r="D24" s="51">
        <v>0</v>
      </c>
      <c r="E24" s="51">
        <v>0</v>
      </c>
      <c r="F24" s="51">
        <v>0</v>
      </c>
      <c r="G24" s="51">
        <v>0</v>
      </c>
      <c r="H24" s="100"/>
    </row>
    <row r="25" spans="1:7" s="165" customFormat="1" ht="14.25">
      <c r="A25" s="163"/>
      <c r="B25" s="128" t="s">
        <v>224</v>
      </c>
      <c r="C25" s="128">
        <f>SUM(C6:C24)</f>
        <v>3424</v>
      </c>
      <c r="D25" s="128">
        <f>SUM(D6:D24)</f>
        <v>838</v>
      </c>
      <c r="E25" s="164">
        <f>SUM(E6:E24)</f>
        <v>230</v>
      </c>
      <c r="F25" s="128">
        <f>SUM(F6:F24)</f>
        <v>190</v>
      </c>
      <c r="G25" s="128">
        <f>SUM(G6:G24)</f>
        <v>11789</v>
      </c>
    </row>
    <row r="26" spans="1:7" ht="12.75">
      <c r="A26" s="54">
        <v>20</v>
      </c>
      <c r="B26" s="51" t="s">
        <v>23</v>
      </c>
      <c r="C26" s="51">
        <v>8</v>
      </c>
      <c r="D26" s="51">
        <v>0</v>
      </c>
      <c r="E26" s="51">
        <v>0</v>
      </c>
      <c r="F26" s="51">
        <v>0</v>
      </c>
      <c r="G26" s="51">
        <v>0</v>
      </c>
    </row>
    <row r="27" spans="1:8" ht="12.75">
      <c r="A27" s="54">
        <v>21</v>
      </c>
      <c r="B27" s="51" t="s">
        <v>269</v>
      </c>
      <c r="C27" s="51">
        <v>4</v>
      </c>
      <c r="D27" s="51">
        <v>0</v>
      </c>
      <c r="E27" s="51">
        <v>0</v>
      </c>
      <c r="F27" s="51">
        <v>0</v>
      </c>
      <c r="G27" s="51">
        <v>0</v>
      </c>
      <c r="H27" s="100"/>
    </row>
    <row r="28" spans="1:8" ht="12.75">
      <c r="A28" s="54">
        <v>22</v>
      </c>
      <c r="B28" s="51" t="s">
        <v>169</v>
      </c>
      <c r="C28" s="51">
        <v>12</v>
      </c>
      <c r="D28" s="51">
        <v>0</v>
      </c>
      <c r="E28" s="51">
        <v>0</v>
      </c>
      <c r="F28" s="51">
        <v>0</v>
      </c>
      <c r="G28" s="51">
        <v>0</v>
      </c>
      <c r="H28" s="100"/>
    </row>
    <row r="29" spans="1:7" ht="12.75">
      <c r="A29" s="54">
        <v>23</v>
      </c>
      <c r="B29" s="51" t="s">
        <v>22</v>
      </c>
      <c r="C29" s="51">
        <v>4</v>
      </c>
      <c r="D29" s="51">
        <v>0</v>
      </c>
      <c r="E29" s="51">
        <v>0</v>
      </c>
      <c r="F29" s="51">
        <v>0</v>
      </c>
      <c r="G29" s="51">
        <v>0</v>
      </c>
    </row>
    <row r="30" spans="1:7" s="103" customFormat="1" ht="12.75">
      <c r="A30" s="54">
        <v>24</v>
      </c>
      <c r="B30" s="57" t="s">
        <v>141</v>
      </c>
      <c r="C30" s="57">
        <v>16</v>
      </c>
      <c r="D30" s="57">
        <v>0</v>
      </c>
      <c r="E30" s="57">
        <v>0</v>
      </c>
      <c r="F30" s="57">
        <v>0</v>
      </c>
      <c r="G30" s="57">
        <v>0</v>
      </c>
    </row>
    <row r="31" spans="1:7" ht="12.75">
      <c r="A31" s="54">
        <v>25</v>
      </c>
      <c r="B31" s="51" t="s">
        <v>18</v>
      </c>
      <c r="C31" s="51">
        <v>1198</v>
      </c>
      <c r="D31" s="51">
        <v>40</v>
      </c>
      <c r="E31" s="51">
        <v>13</v>
      </c>
      <c r="F31" s="51">
        <v>12</v>
      </c>
      <c r="G31" s="51">
        <v>383</v>
      </c>
    </row>
    <row r="32" spans="1:7" ht="12.75">
      <c r="A32" s="54">
        <v>26</v>
      </c>
      <c r="B32" s="51" t="s">
        <v>104</v>
      </c>
      <c r="C32" s="51">
        <v>716</v>
      </c>
      <c r="D32" s="51">
        <v>17</v>
      </c>
      <c r="E32" s="51">
        <v>14</v>
      </c>
      <c r="F32" s="51">
        <v>11</v>
      </c>
      <c r="G32" s="51">
        <v>402</v>
      </c>
    </row>
    <row r="33" spans="1:7" s="165" customFormat="1" ht="14.25">
      <c r="A33" s="163"/>
      <c r="B33" s="128" t="s">
        <v>226</v>
      </c>
      <c r="C33" s="128">
        <f>SUM(C26:C32)</f>
        <v>1958</v>
      </c>
      <c r="D33" s="128">
        <f>SUM(D26:D32)</f>
        <v>57</v>
      </c>
      <c r="E33" s="164">
        <f>SUM(E26:E32)</f>
        <v>27</v>
      </c>
      <c r="F33" s="128">
        <f>SUM(F26:F32)</f>
        <v>23</v>
      </c>
      <c r="G33" s="128">
        <f>SUM(G26:G32)</f>
        <v>785</v>
      </c>
    </row>
    <row r="34" spans="1:7" ht="12.75">
      <c r="A34" s="54">
        <v>27</v>
      </c>
      <c r="B34" s="51" t="s">
        <v>163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s="103" customFormat="1" ht="12.75">
      <c r="A35" s="54">
        <v>28</v>
      </c>
      <c r="B35" s="57" t="s">
        <v>231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12.75">
      <c r="A36" s="54">
        <v>29</v>
      </c>
      <c r="B36" s="51" t="s">
        <v>218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ht="12.75">
      <c r="A37" s="54">
        <v>30</v>
      </c>
      <c r="B37" s="51" t="s">
        <v>236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</row>
    <row r="38" spans="1:7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</row>
    <row r="39" spans="1:7" ht="12.75">
      <c r="A39" s="54">
        <v>32</v>
      </c>
      <c r="B39" s="51" t="s">
        <v>220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</row>
    <row r="40" spans="1:7" ht="12.75">
      <c r="A40" s="110">
        <v>33</v>
      </c>
      <c r="B40" s="113" t="s">
        <v>363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</row>
    <row r="41" spans="1:7" s="103" customFormat="1" ht="12.75">
      <c r="A41" s="54">
        <v>34</v>
      </c>
      <c r="B41" s="57" t="s">
        <v>242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</row>
    <row r="42" spans="1:7" ht="12.75">
      <c r="A42" s="54">
        <v>35</v>
      </c>
      <c r="B42" s="51" t="s">
        <v>256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</row>
    <row r="43" spans="1:7" ht="12.75">
      <c r="A43" s="54">
        <v>36</v>
      </c>
      <c r="B43" s="51" t="s">
        <v>24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</row>
    <row r="44" spans="1:7" ht="12.75">
      <c r="A44" s="54">
        <v>37</v>
      </c>
      <c r="B44" s="51" t="s">
        <v>223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</row>
    <row r="45" spans="1:7" ht="12.75">
      <c r="A45" s="54">
        <v>38</v>
      </c>
      <c r="B45" s="51" t="s">
        <v>364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</row>
    <row r="46" spans="1:8" ht="12.75">
      <c r="A46" s="54">
        <v>39</v>
      </c>
      <c r="B46" s="51" t="s">
        <v>366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100"/>
    </row>
    <row r="47" spans="1:7" s="165" customFormat="1" ht="14.25">
      <c r="A47" s="163"/>
      <c r="B47" s="128" t="s">
        <v>225</v>
      </c>
      <c r="C47" s="128">
        <f>SUM(C34:C46)</f>
        <v>0</v>
      </c>
      <c r="D47" s="128">
        <f>SUM(D34:D46)</f>
        <v>0</v>
      </c>
      <c r="E47" s="128">
        <f>SUM(E34:E46)</f>
        <v>0</v>
      </c>
      <c r="F47" s="128">
        <f>SUM(F34:F46)</f>
        <v>0</v>
      </c>
      <c r="G47" s="128">
        <f>SUM(G34:G46)</f>
        <v>0</v>
      </c>
    </row>
    <row r="48" spans="1:7" s="165" customFormat="1" ht="14.25">
      <c r="A48" s="163"/>
      <c r="B48" s="87" t="s">
        <v>123</v>
      </c>
      <c r="C48" s="128">
        <f>C25+C33+C47</f>
        <v>5382</v>
      </c>
      <c r="D48" s="128">
        <f>D25+D33+D47</f>
        <v>895</v>
      </c>
      <c r="E48" s="164">
        <f>E25+E33+E47</f>
        <v>257</v>
      </c>
      <c r="F48" s="128">
        <f>F25+F33+F47</f>
        <v>213</v>
      </c>
      <c r="G48" s="128">
        <f>G25+G33+G47</f>
        <v>12574</v>
      </c>
    </row>
    <row r="49" spans="1:7" ht="12.75">
      <c r="A49" s="31"/>
      <c r="B49" s="27"/>
      <c r="C49" s="63"/>
      <c r="D49" s="63"/>
      <c r="E49" s="68"/>
      <c r="F49" s="29"/>
      <c r="G49" s="63"/>
    </row>
    <row r="50" spans="1:7" ht="12.75">
      <c r="A50" s="31"/>
      <c r="B50" s="27"/>
      <c r="C50" s="63"/>
      <c r="D50" s="63"/>
      <c r="E50" s="68"/>
      <c r="F50" s="29"/>
      <c r="G50" s="63"/>
    </row>
    <row r="51" spans="1:7" ht="12.75">
      <c r="A51" s="31"/>
      <c r="B51" s="27"/>
      <c r="C51" s="63"/>
      <c r="D51" s="78"/>
      <c r="E51" s="67"/>
      <c r="F51" s="30"/>
      <c r="G51" s="78"/>
    </row>
    <row r="52" spans="1:7" ht="18" customHeight="1">
      <c r="A52" s="43" t="s">
        <v>122</v>
      </c>
      <c r="B52" s="43" t="s">
        <v>5</v>
      </c>
      <c r="C52" s="81" t="s">
        <v>75</v>
      </c>
      <c r="D52" s="81" t="s">
        <v>210</v>
      </c>
      <c r="E52" s="55" t="s">
        <v>63</v>
      </c>
      <c r="F52" s="55" t="s">
        <v>63</v>
      </c>
      <c r="G52" s="81" t="s">
        <v>213</v>
      </c>
    </row>
    <row r="53" spans="1:7" ht="18" customHeight="1">
      <c r="A53" s="47" t="s">
        <v>6</v>
      </c>
      <c r="B53" s="71"/>
      <c r="C53" s="95"/>
      <c r="D53" s="91" t="s">
        <v>211</v>
      </c>
      <c r="E53" s="56" t="s">
        <v>107</v>
      </c>
      <c r="F53" s="56" t="s">
        <v>150</v>
      </c>
      <c r="G53" s="91" t="s">
        <v>214</v>
      </c>
    </row>
    <row r="54" spans="1:7" ht="12.75">
      <c r="A54" s="54">
        <v>40</v>
      </c>
      <c r="B54" s="57" t="s">
        <v>78</v>
      </c>
      <c r="C54" s="51">
        <v>560</v>
      </c>
      <c r="D54" s="51">
        <v>58</v>
      </c>
      <c r="E54" s="51">
        <v>14</v>
      </c>
      <c r="F54" s="51">
        <v>14</v>
      </c>
      <c r="G54" s="51">
        <v>694</v>
      </c>
    </row>
    <row r="55" spans="1:8" ht="12.75">
      <c r="A55" s="54">
        <v>41</v>
      </c>
      <c r="B55" s="57" t="s">
        <v>278</v>
      </c>
      <c r="C55" s="51">
        <v>3500</v>
      </c>
      <c r="D55" s="51">
        <v>1258</v>
      </c>
      <c r="E55" s="51">
        <v>309</v>
      </c>
      <c r="F55" s="51">
        <v>309</v>
      </c>
      <c r="G55" s="51">
        <v>7746</v>
      </c>
      <c r="H55" s="100"/>
    </row>
    <row r="56" spans="1:7" ht="12.75">
      <c r="A56" s="54">
        <v>42</v>
      </c>
      <c r="B56" s="57" t="s">
        <v>30</v>
      </c>
      <c r="C56" s="51">
        <v>300</v>
      </c>
      <c r="D56" s="51">
        <v>32</v>
      </c>
      <c r="E56" s="51">
        <v>8</v>
      </c>
      <c r="F56" s="51">
        <v>8</v>
      </c>
      <c r="G56" s="51">
        <v>1500</v>
      </c>
    </row>
    <row r="57" spans="1:7" ht="12.75">
      <c r="A57" s="54">
        <v>43</v>
      </c>
      <c r="B57" s="57" t="s">
        <v>234</v>
      </c>
      <c r="C57" s="51">
        <v>600</v>
      </c>
      <c r="D57" s="51">
        <v>837</v>
      </c>
      <c r="E57" s="51">
        <v>224</v>
      </c>
      <c r="F57" s="51">
        <v>224</v>
      </c>
      <c r="G57" s="51">
        <v>4163</v>
      </c>
    </row>
    <row r="58" spans="1:9" ht="12.75">
      <c r="A58" s="54">
        <v>44</v>
      </c>
      <c r="B58" s="57" t="s">
        <v>29</v>
      </c>
      <c r="C58" s="51">
        <v>650</v>
      </c>
      <c r="D58" s="51">
        <v>57</v>
      </c>
      <c r="E58" s="51">
        <v>10</v>
      </c>
      <c r="F58" s="51">
        <v>10</v>
      </c>
      <c r="G58" s="51">
        <v>852</v>
      </c>
      <c r="H58" s="100"/>
      <c r="I58" s="100"/>
    </row>
    <row r="59" spans="1:7" ht="12.75">
      <c r="A59" s="54">
        <v>45</v>
      </c>
      <c r="B59" s="57" t="s">
        <v>391</v>
      </c>
      <c r="C59" s="51">
        <v>2178</v>
      </c>
      <c r="D59" s="51">
        <v>624</v>
      </c>
      <c r="E59" s="51">
        <v>215</v>
      </c>
      <c r="F59" s="51">
        <v>215</v>
      </c>
      <c r="G59" s="51">
        <v>8482</v>
      </c>
    </row>
    <row r="60" spans="1:8" ht="12.75">
      <c r="A60" s="54">
        <v>46</v>
      </c>
      <c r="B60" s="57" t="s">
        <v>25</v>
      </c>
      <c r="C60" s="51">
        <v>410</v>
      </c>
      <c r="D60" s="51">
        <v>358</v>
      </c>
      <c r="E60" s="51">
        <v>86</v>
      </c>
      <c r="F60" s="51">
        <v>86</v>
      </c>
      <c r="G60" s="51">
        <v>1755</v>
      </c>
      <c r="H60" s="100"/>
    </row>
    <row r="61" spans="1:7" ht="12.75">
      <c r="A61" s="54">
        <v>47</v>
      </c>
      <c r="B61" s="57" t="s">
        <v>28</v>
      </c>
      <c r="C61" s="51">
        <v>170</v>
      </c>
      <c r="D61" s="51">
        <v>15</v>
      </c>
      <c r="E61" s="51">
        <v>10</v>
      </c>
      <c r="F61" s="51">
        <v>10</v>
      </c>
      <c r="G61" s="51">
        <v>250</v>
      </c>
    </row>
    <row r="62" spans="1:7" s="165" customFormat="1" ht="14.25">
      <c r="A62" s="54"/>
      <c r="B62" s="87" t="s">
        <v>123</v>
      </c>
      <c r="C62" s="128">
        <f>SUM(C54:C61)</f>
        <v>8368</v>
      </c>
      <c r="D62" s="128">
        <f>SUM(D54:D61)</f>
        <v>3239</v>
      </c>
      <c r="E62" s="164">
        <f>SUM(E54:E61)</f>
        <v>876</v>
      </c>
      <c r="F62" s="128">
        <f>SUM(F54:F61)</f>
        <v>876</v>
      </c>
      <c r="G62" s="128">
        <f>SUM(G54:G61)</f>
        <v>25442</v>
      </c>
    </row>
    <row r="63" spans="1:7" ht="12.75">
      <c r="A63" s="54"/>
      <c r="B63" t="s">
        <v>36</v>
      </c>
      <c r="C63" s="51"/>
      <c r="D63" s="51"/>
      <c r="E63" s="57"/>
      <c r="F63" s="51"/>
      <c r="G63" s="51"/>
    </row>
    <row r="64" spans="1:7" ht="12.75">
      <c r="A64" s="54">
        <v>48</v>
      </c>
      <c r="B64" s="51" t="s">
        <v>34</v>
      </c>
      <c r="C64" s="51">
        <v>730</v>
      </c>
      <c r="D64" s="51">
        <v>485</v>
      </c>
      <c r="E64" s="51">
        <v>78</v>
      </c>
      <c r="F64" s="51">
        <v>78</v>
      </c>
      <c r="G64" s="51">
        <v>745</v>
      </c>
    </row>
    <row r="65" spans="1:9" ht="12.75">
      <c r="A65" s="54">
        <v>49</v>
      </c>
      <c r="B65" s="51" t="s">
        <v>130</v>
      </c>
      <c r="C65" s="51">
        <v>570</v>
      </c>
      <c r="D65" s="51">
        <v>0</v>
      </c>
      <c r="E65" s="51">
        <v>0</v>
      </c>
      <c r="F65" s="51">
        <v>0</v>
      </c>
      <c r="G65" s="51">
        <v>0</v>
      </c>
      <c r="H65" s="100"/>
      <c r="I65" s="100"/>
    </row>
    <row r="66" spans="1:7" s="165" customFormat="1" ht="14.25">
      <c r="A66" s="54"/>
      <c r="B66" s="87" t="s">
        <v>123</v>
      </c>
      <c r="C66" s="128">
        <f>SUM(C64:C65)</f>
        <v>1300</v>
      </c>
      <c r="D66" s="128">
        <f>SUM(D64:D65)</f>
        <v>485</v>
      </c>
      <c r="E66" s="164">
        <f>SUM(E64:E65)</f>
        <v>78</v>
      </c>
      <c r="F66" s="128">
        <f>SUM(F64:F65)</f>
        <v>78</v>
      </c>
      <c r="G66" s="128">
        <f>SUM(G64:G65)</f>
        <v>745</v>
      </c>
    </row>
    <row r="67" spans="1:7" s="165" customFormat="1" ht="14.25">
      <c r="A67" s="163"/>
      <c r="B67" s="87" t="s">
        <v>35</v>
      </c>
      <c r="C67" s="128">
        <f>+C48+C62+C66</f>
        <v>15050</v>
      </c>
      <c r="D67" s="128">
        <f>+D48+D62+D66</f>
        <v>4619</v>
      </c>
      <c r="E67" s="164">
        <f>+E48+E62+E66</f>
        <v>1211</v>
      </c>
      <c r="F67" s="128">
        <f>+F48+F62+F66</f>
        <v>1167</v>
      </c>
      <c r="G67" s="128">
        <f>+G48+G62+G66</f>
        <v>38761</v>
      </c>
    </row>
    <row r="72" spans="3:4" ht="12.75">
      <c r="C72" s="15">
        <v>16</v>
      </c>
      <c r="D72" s="15" t="s">
        <v>410</v>
      </c>
    </row>
  </sheetData>
  <sheetProtection/>
  <printOptions gridLines="1" horizontalCentered="1"/>
  <pageMargins left="0.75" right="0.75" top="0.47" bottom="0.65" header="0.38" footer="0.5"/>
  <pageSetup blackAndWhite="1" horizontalDpi="300" verticalDpi="300" orientation="landscape" paperSize="9" scale="81" r:id="rId2"/>
  <rowBreaks count="1" manualBreakCount="1">
    <brk id="48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F40">
      <selection activeCell="K11" sqref="K11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10.28125" style="6" customWidth="1"/>
    <col min="4" max="4" width="10.140625" style="6" customWidth="1"/>
    <col min="5" max="5" width="12.421875" style="19" customWidth="1"/>
    <col min="6" max="6" width="12.421875" style="7" customWidth="1"/>
    <col min="7" max="7" width="15.28125" style="6" customWidth="1"/>
    <col min="8" max="8" width="10.57421875" style="6" customWidth="1"/>
    <col min="9" max="9" width="11.28125" style="6" customWidth="1"/>
    <col min="10" max="11" width="12.421875" style="7" customWidth="1"/>
    <col min="12" max="12" width="15.28125" style="6" customWidth="1"/>
  </cols>
  <sheetData>
    <row r="1" spans="1:12" ht="16.5" customHeight="1">
      <c r="A1" s="27"/>
      <c r="B1" s="27"/>
      <c r="C1" s="63"/>
      <c r="D1" s="96"/>
      <c r="E1" s="33"/>
      <c r="F1" s="34"/>
      <c r="G1" s="96"/>
      <c r="H1" s="78"/>
      <c r="I1" s="78"/>
      <c r="J1" s="30"/>
      <c r="K1" s="30"/>
      <c r="L1" s="78"/>
    </row>
    <row r="2" spans="1:12" ht="18" customHeight="1">
      <c r="A2" s="31"/>
      <c r="B2" s="31"/>
      <c r="C2" s="78"/>
      <c r="D2" s="96"/>
      <c r="E2" s="33"/>
      <c r="F2" s="34"/>
      <c r="G2" s="96"/>
      <c r="H2" s="78"/>
      <c r="I2" s="78"/>
      <c r="J2" s="30"/>
      <c r="K2" s="30"/>
      <c r="L2" s="78"/>
    </row>
    <row r="3" spans="1:12" ht="18" customHeight="1">
      <c r="A3" s="31"/>
      <c r="B3" s="31"/>
      <c r="C3" s="78"/>
      <c r="D3" s="96"/>
      <c r="E3" s="33"/>
      <c r="F3" s="34"/>
      <c r="G3" s="96"/>
      <c r="H3" s="78"/>
      <c r="I3" s="78"/>
      <c r="J3" s="30"/>
      <c r="K3" s="30"/>
      <c r="L3" s="78"/>
    </row>
    <row r="4" spans="1:12" ht="15" customHeight="1">
      <c r="A4" s="43" t="s">
        <v>122</v>
      </c>
      <c r="B4" s="43" t="s">
        <v>5</v>
      </c>
      <c r="C4" s="663" t="s">
        <v>261</v>
      </c>
      <c r="D4" s="734"/>
      <c r="E4" s="734"/>
      <c r="F4" s="734"/>
      <c r="G4" s="664"/>
      <c r="H4" s="663" t="s">
        <v>262</v>
      </c>
      <c r="I4" s="734"/>
      <c r="J4" s="734"/>
      <c r="K4" s="734"/>
      <c r="L4" s="664"/>
    </row>
    <row r="5" spans="1:12" ht="12.75">
      <c r="A5" s="44" t="s">
        <v>6</v>
      </c>
      <c r="B5" s="75"/>
      <c r="C5" s="81" t="s">
        <v>75</v>
      </c>
      <c r="D5" s="81" t="s">
        <v>210</v>
      </c>
      <c r="E5" s="55" t="s">
        <v>63</v>
      </c>
      <c r="F5" s="55" t="s">
        <v>63</v>
      </c>
      <c r="G5" s="81" t="s">
        <v>165</v>
      </c>
      <c r="H5" s="81" t="s">
        <v>75</v>
      </c>
      <c r="I5" s="81" t="s">
        <v>210</v>
      </c>
      <c r="J5" s="55" t="s">
        <v>63</v>
      </c>
      <c r="K5" s="55" t="s">
        <v>63</v>
      </c>
      <c r="L5" s="81" t="s">
        <v>165</v>
      </c>
    </row>
    <row r="6" spans="1:12" ht="12.75">
      <c r="A6" s="47"/>
      <c r="B6" s="71"/>
      <c r="C6" s="95"/>
      <c r="D6" s="91" t="s">
        <v>211</v>
      </c>
      <c r="E6" s="56" t="s">
        <v>107</v>
      </c>
      <c r="F6" s="56" t="s">
        <v>150</v>
      </c>
      <c r="G6" s="92" t="s">
        <v>260</v>
      </c>
      <c r="H6" s="95"/>
      <c r="I6" s="91" t="s">
        <v>211</v>
      </c>
      <c r="J6" s="56" t="s">
        <v>107</v>
      </c>
      <c r="K6" s="56" t="s">
        <v>150</v>
      </c>
      <c r="L6" s="92" t="s">
        <v>260</v>
      </c>
    </row>
    <row r="7" spans="1:12" s="117" customFormat="1" ht="12" customHeight="1">
      <c r="A7" s="115">
        <v>1</v>
      </c>
      <c r="B7" s="116" t="s">
        <v>7</v>
      </c>
      <c r="C7" s="116">
        <v>300</v>
      </c>
      <c r="D7" s="116">
        <v>12</v>
      </c>
      <c r="E7" s="116">
        <v>6</v>
      </c>
      <c r="F7" s="116">
        <v>5</v>
      </c>
      <c r="G7" s="116">
        <v>810</v>
      </c>
      <c r="H7" s="116">
        <v>200</v>
      </c>
      <c r="I7" s="116">
        <v>226</v>
      </c>
      <c r="J7" s="116">
        <v>56</v>
      </c>
      <c r="K7" s="116">
        <v>52</v>
      </c>
      <c r="L7" s="116">
        <v>1242</v>
      </c>
    </row>
    <row r="8" spans="1:12" s="117" customFormat="1" ht="12" customHeight="1">
      <c r="A8" s="115">
        <v>2</v>
      </c>
      <c r="B8" s="116" t="s">
        <v>8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pans="1:12" s="117" customFormat="1" ht="12" customHeight="1">
      <c r="A9" s="115">
        <v>3</v>
      </c>
      <c r="B9" s="116" t="s">
        <v>9</v>
      </c>
      <c r="C9" s="116">
        <v>0</v>
      </c>
      <c r="D9" s="116">
        <v>3</v>
      </c>
      <c r="E9" s="116">
        <v>4</v>
      </c>
      <c r="F9" s="116">
        <v>4</v>
      </c>
      <c r="G9" s="116">
        <v>135</v>
      </c>
      <c r="H9" s="116">
        <v>0</v>
      </c>
      <c r="I9" s="116">
        <v>9</v>
      </c>
      <c r="J9" s="116">
        <v>2</v>
      </c>
      <c r="K9" s="116">
        <v>2</v>
      </c>
      <c r="L9" s="116">
        <v>144</v>
      </c>
    </row>
    <row r="10" spans="1:12" ht="11.25" customHeight="1">
      <c r="A10" s="50">
        <v>4</v>
      </c>
      <c r="B10" s="51" t="s">
        <v>10</v>
      </c>
      <c r="C10" s="51">
        <v>800</v>
      </c>
      <c r="D10" s="51">
        <v>432</v>
      </c>
      <c r="E10" s="51">
        <v>45</v>
      </c>
      <c r="F10" s="51">
        <v>38</v>
      </c>
      <c r="G10" s="51">
        <v>608</v>
      </c>
      <c r="H10" s="51">
        <v>1500</v>
      </c>
      <c r="I10" s="51">
        <v>463</v>
      </c>
      <c r="J10" s="51">
        <v>10</v>
      </c>
      <c r="K10" s="51">
        <v>9</v>
      </c>
      <c r="L10" s="51">
        <v>1871</v>
      </c>
    </row>
    <row r="11" spans="1:12" ht="12" customHeight="1">
      <c r="A11" s="50">
        <v>5</v>
      </c>
      <c r="B11" s="51" t="s">
        <v>11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88</v>
      </c>
      <c r="J11" s="51">
        <v>14</v>
      </c>
      <c r="K11" s="51">
        <v>14</v>
      </c>
      <c r="L11" s="51">
        <v>10882</v>
      </c>
    </row>
    <row r="12" spans="1:12" ht="12" customHeight="1">
      <c r="A12" s="50">
        <v>6</v>
      </c>
      <c r="B12" s="51" t="s">
        <v>12</v>
      </c>
      <c r="C12" s="51">
        <v>0</v>
      </c>
      <c r="D12" s="51">
        <v>1</v>
      </c>
      <c r="E12" s="51">
        <v>0</v>
      </c>
      <c r="F12" s="51">
        <v>0</v>
      </c>
      <c r="G12" s="51">
        <v>14</v>
      </c>
      <c r="H12" s="51">
        <v>0</v>
      </c>
      <c r="I12" s="51">
        <v>560</v>
      </c>
      <c r="J12" s="51">
        <v>140</v>
      </c>
      <c r="K12" s="51">
        <v>140</v>
      </c>
      <c r="L12" s="51">
        <v>1832</v>
      </c>
    </row>
    <row r="13" spans="1:12" s="103" customFormat="1" ht="12" customHeight="1">
      <c r="A13" s="54">
        <v>7</v>
      </c>
      <c r="B13" s="57" t="s">
        <v>13</v>
      </c>
      <c r="C13" s="57">
        <v>500</v>
      </c>
      <c r="D13" s="57">
        <v>46</v>
      </c>
      <c r="E13" s="57">
        <v>36</v>
      </c>
      <c r="F13" s="57">
        <v>24</v>
      </c>
      <c r="G13" s="57">
        <v>268</v>
      </c>
      <c r="H13" s="57">
        <v>300</v>
      </c>
      <c r="I13" s="57">
        <v>140</v>
      </c>
      <c r="J13" s="57">
        <v>38</v>
      </c>
      <c r="K13" s="57">
        <v>32</v>
      </c>
      <c r="L13" s="57">
        <v>981</v>
      </c>
    </row>
    <row r="14" spans="1:12" s="103" customFormat="1" ht="12" customHeight="1">
      <c r="A14" s="54">
        <v>8</v>
      </c>
      <c r="B14" s="57" t="s">
        <v>162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</row>
    <row r="15" spans="1:13" ht="12" customHeight="1">
      <c r="A15" s="50">
        <v>9</v>
      </c>
      <c r="B15" s="51" t="s">
        <v>14</v>
      </c>
      <c r="C15" s="51">
        <v>0</v>
      </c>
      <c r="D15" s="51">
        <v>0</v>
      </c>
      <c r="E15" s="51">
        <v>0</v>
      </c>
      <c r="F15" s="51">
        <v>0</v>
      </c>
      <c r="G15" s="51">
        <v>4</v>
      </c>
      <c r="H15" s="51">
        <v>500</v>
      </c>
      <c r="I15" s="51">
        <v>32</v>
      </c>
      <c r="J15" s="51">
        <v>8</v>
      </c>
      <c r="K15" s="51">
        <v>8</v>
      </c>
      <c r="L15" s="51">
        <v>463</v>
      </c>
      <c r="M15" s="100"/>
    </row>
    <row r="16" spans="1:12" ht="12" customHeight="1">
      <c r="A16" s="50">
        <v>10</v>
      </c>
      <c r="B16" s="51" t="s">
        <v>15</v>
      </c>
      <c r="C16" s="51">
        <v>5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12" customHeight="1">
      <c r="A17" s="50">
        <v>11</v>
      </c>
      <c r="B17" s="51" t="s">
        <v>16</v>
      </c>
      <c r="C17" s="51">
        <v>10</v>
      </c>
      <c r="D17" s="51">
        <v>0</v>
      </c>
      <c r="E17" s="51">
        <v>0</v>
      </c>
      <c r="F17" s="51">
        <v>0</v>
      </c>
      <c r="G17" s="51">
        <v>18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spans="1:12" ht="12" customHeight="1">
      <c r="A18" s="50">
        <v>12</v>
      </c>
      <c r="B18" s="51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6</v>
      </c>
      <c r="J18" s="51">
        <v>1</v>
      </c>
      <c r="K18" s="51">
        <v>1</v>
      </c>
      <c r="L18" s="51">
        <v>0</v>
      </c>
    </row>
    <row r="19" spans="1:12" ht="12" customHeight="1">
      <c r="A19" s="50">
        <v>13</v>
      </c>
      <c r="B19" s="51" t="s">
        <v>164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spans="1:12" ht="12" customHeight="1">
      <c r="A20" s="50">
        <v>14</v>
      </c>
      <c r="B20" s="51" t="s">
        <v>77</v>
      </c>
      <c r="C20" s="51">
        <v>0</v>
      </c>
      <c r="D20" s="51">
        <v>3</v>
      </c>
      <c r="E20" s="51">
        <v>0</v>
      </c>
      <c r="F20" s="51">
        <v>0</v>
      </c>
      <c r="G20" s="51">
        <v>57</v>
      </c>
      <c r="H20" s="51">
        <v>0</v>
      </c>
      <c r="I20" s="51">
        <v>374</v>
      </c>
      <c r="J20" s="51">
        <v>121</v>
      </c>
      <c r="K20" s="51">
        <v>121</v>
      </c>
      <c r="L20" s="51">
        <v>897</v>
      </c>
    </row>
    <row r="21" spans="1:12" ht="12" customHeight="1">
      <c r="A21" s="50">
        <v>15</v>
      </c>
      <c r="B21" s="51" t="s">
        <v>105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69</v>
      </c>
    </row>
    <row r="22" spans="1:12" s="103" customFormat="1" ht="12" customHeight="1">
      <c r="A22" s="54">
        <v>16</v>
      </c>
      <c r="B22" s="57" t="s">
        <v>20</v>
      </c>
      <c r="C22" s="57">
        <v>0</v>
      </c>
      <c r="D22" s="57">
        <v>175</v>
      </c>
      <c r="E22" s="57">
        <v>46</v>
      </c>
      <c r="F22" s="57">
        <v>46</v>
      </c>
      <c r="G22" s="57">
        <v>1639</v>
      </c>
      <c r="H22" s="57">
        <v>0</v>
      </c>
      <c r="I22" s="57">
        <v>401</v>
      </c>
      <c r="J22" s="57">
        <v>46</v>
      </c>
      <c r="K22" s="57">
        <v>46</v>
      </c>
      <c r="L22" s="57">
        <v>4142</v>
      </c>
    </row>
    <row r="23" spans="1:12" ht="12" customHeight="1">
      <c r="A23" s="50">
        <v>17</v>
      </c>
      <c r="B23" s="51" t="s">
        <v>21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571</v>
      </c>
      <c r="I23" s="51">
        <v>18</v>
      </c>
      <c r="J23" s="51">
        <v>5</v>
      </c>
      <c r="K23" s="51">
        <v>4</v>
      </c>
      <c r="L23" s="51">
        <v>368</v>
      </c>
    </row>
    <row r="24" spans="1:12" ht="12" customHeight="1">
      <c r="A24" s="50">
        <v>18</v>
      </c>
      <c r="B24" s="51" t="s">
        <v>19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</row>
    <row r="25" spans="1:12" ht="12" customHeight="1">
      <c r="A25" s="50">
        <v>19</v>
      </c>
      <c r="B25" s="51" t="s">
        <v>124</v>
      </c>
      <c r="C25" s="51">
        <v>0</v>
      </c>
      <c r="D25" s="51">
        <v>1</v>
      </c>
      <c r="E25" s="51">
        <v>4</v>
      </c>
      <c r="F25" s="51">
        <v>4</v>
      </c>
      <c r="G25" s="51">
        <v>4</v>
      </c>
      <c r="H25" s="51">
        <v>0</v>
      </c>
      <c r="I25" s="51">
        <v>2</v>
      </c>
      <c r="J25" s="51">
        <v>0</v>
      </c>
      <c r="K25" s="51">
        <v>0</v>
      </c>
      <c r="L25" s="51">
        <v>5</v>
      </c>
    </row>
    <row r="26" spans="1:12" s="165" customFormat="1" ht="12" customHeight="1">
      <c r="A26" s="163"/>
      <c r="B26" s="128" t="s">
        <v>224</v>
      </c>
      <c r="C26" s="128">
        <f aca="true" t="shared" si="0" ref="C26:L26">SUM(C7:C25)</f>
        <v>1615</v>
      </c>
      <c r="D26" s="128">
        <f t="shared" si="0"/>
        <v>673</v>
      </c>
      <c r="E26" s="164">
        <f t="shared" si="0"/>
        <v>141</v>
      </c>
      <c r="F26" s="128">
        <f t="shared" si="0"/>
        <v>121</v>
      </c>
      <c r="G26" s="128">
        <f t="shared" si="0"/>
        <v>3557</v>
      </c>
      <c r="H26" s="128">
        <f t="shared" si="0"/>
        <v>3071</v>
      </c>
      <c r="I26" s="128">
        <f t="shared" si="0"/>
        <v>2319</v>
      </c>
      <c r="J26" s="164">
        <f t="shared" si="0"/>
        <v>441</v>
      </c>
      <c r="K26" s="128">
        <f t="shared" si="0"/>
        <v>429</v>
      </c>
      <c r="L26" s="128">
        <f t="shared" si="0"/>
        <v>22896</v>
      </c>
    </row>
    <row r="27" spans="1:12" ht="12" customHeight="1">
      <c r="A27" s="54">
        <v>20</v>
      </c>
      <c r="B27" s="51" t="s">
        <v>23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spans="1:12" ht="12" customHeight="1">
      <c r="A28" s="54">
        <v>21</v>
      </c>
      <c r="B28" s="51" t="s">
        <v>269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</row>
    <row r="29" spans="1:12" ht="12" customHeight="1">
      <c r="A29" s="54">
        <v>22</v>
      </c>
      <c r="B29" s="51" t="s">
        <v>169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</row>
    <row r="30" spans="1:12" ht="12" customHeight="1">
      <c r="A30" s="54">
        <v>23</v>
      </c>
      <c r="B30" s="51" t="s">
        <v>22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</row>
    <row r="31" spans="1:12" s="103" customFormat="1" ht="12" customHeight="1">
      <c r="A31" s="54">
        <v>24</v>
      </c>
      <c r="B31" s="57" t="s">
        <v>141</v>
      </c>
      <c r="C31" s="57">
        <v>200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</row>
    <row r="32" spans="1:12" ht="12" customHeight="1">
      <c r="A32" s="54">
        <v>25</v>
      </c>
      <c r="B32" s="51" t="s">
        <v>18</v>
      </c>
      <c r="C32" s="51">
        <v>0</v>
      </c>
      <c r="D32" s="51">
        <v>59</v>
      </c>
      <c r="E32" s="51">
        <v>45</v>
      </c>
      <c r="F32" s="51">
        <v>30</v>
      </c>
      <c r="G32" s="51">
        <v>279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</row>
    <row r="33" spans="1:12" ht="12" customHeight="1">
      <c r="A33" s="54">
        <v>26</v>
      </c>
      <c r="B33" s="51" t="s">
        <v>104</v>
      </c>
      <c r="C33" s="51">
        <v>550</v>
      </c>
      <c r="D33" s="51">
        <v>12</v>
      </c>
      <c r="E33" s="51">
        <v>6</v>
      </c>
      <c r="F33" s="51">
        <v>4</v>
      </c>
      <c r="G33" s="51">
        <v>364</v>
      </c>
      <c r="H33" s="51">
        <v>0</v>
      </c>
      <c r="I33" s="51">
        <v>5</v>
      </c>
      <c r="J33" s="51">
        <v>4</v>
      </c>
      <c r="K33" s="51">
        <v>4</v>
      </c>
      <c r="L33" s="51">
        <v>468</v>
      </c>
    </row>
    <row r="34" spans="1:12" s="165" customFormat="1" ht="12" customHeight="1">
      <c r="A34" s="163"/>
      <c r="B34" s="128" t="s">
        <v>226</v>
      </c>
      <c r="C34" s="128">
        <f aca="true" t="shared" si="1" ref="C34:L34">SUM(C27:C33)</f>
        <v>750</v>
      </c>
      <c r="D34" s="128">
        <f t="shared" si="1"/>
        <v>71</v>
      </c>
      <c r="E34" s="164">
        <f t="shared" si="1"/>
        <v>51</v>
      </c>
      <c r="F34" s="128">
        <f t="shared" si="1"/>
        <v>34</v>
      </c>
      <c r="G34" s="128">
        <f t="shared" si="1"/>
        <v>643</v>
      </c>
      <c r="H34" s="128">
        <f t="shared" si="1"/>
        <v>0</v>
      </c>
      <c r="I34" s="128">
        <f t="shared" si="1"/>
        <v>5</v>
      </c>
      <c r="J34" s="164">
        <f t="shared" si="1"/>
        <v>4</v>
      </c>
      <c r="K34" s="128">
        <f t="shared" si="1"/>
        <v>4</v>
      </c>
      <c r="L34" s="128">
        <f t="shared" si="1"/>
        <v>468</v>
      </c>
    </row>
    <row r="35" spans="1:12" ht="12" customHeight="1">
      <c r="A35" s="54">
        <v>27</v>
      </c>
      <c r="B35" s="51" t="s">
        <v>163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</row>
    <row r="36" spans="1:12" s="103" customFormat="1" ht="12" customHeight="1">
      <c r="A36" s="54">
        <v>28</v>
      </c>
      <c r="B36" s="57" t="s">
        <v>231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</row>
    <row r="37" spans="1:12" ht="12" customHeight="1">
      <c r="A37" s="54">
        <v>29</v>
      </c>
      <c r="B37" s="51" t="s">
        <v>218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</row>
    <row r="38" spans="1:12" ht="12" customHeight="1">
      <c r="A38" s="54">
        <v>30</v>
      </c>
      <c r="B38" s="51" t="s">
        <v>236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</row>
    <row r="39" spans="1:12" s="103" customFormat="1" ht="12" customHeight="1">
      <c r="A39" s="54">
        <v>31</v>
      </c>
      <c r="B39" s="57" t="s">
        <v>219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0" spans="1:12" ht="12" customHeight="1">
      <c r="A40" s="54">
        <v>32</v>
      </c>
      <c r="B40" s="51" t="s">
        <v>220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</row>
    <row r="41" spans="1:12" ht="12" customHeight="1">
      <c r="A41" s="110">
        <v>33</v>
      </c>
      <c r="B41" s="113" t="s">
        <v>363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</row>
    <row r="42" spans="1:12" s="103" customFormat="1" ht="12" customHeight="1">
      <c r="A42" s="54">
        <v>34</v>
      </c>
      <c r="B42" s="57" t="s">
        <v>242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</row>
    <row r="43" spans="1:12" ht="12" customHeight="1">
      <c r="A43" s="54">
        <v>35</v>
      </c>
      <c r="B43" s="51" t="s">
        <v>256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</row>
    <row r="44" spans="1:12" ht="12" customHeight="1">
      <c r="A44" s="54">
        <v>36</v>
      </c>
      <c r="B44" s="51" t="s">
        <v>24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</row>
    <row r="45" spans="1:12" ht="12" customHeight="1">
      <c r="A45" s="54">
        <v>37</v>
      </c>
      <c r="B45" s="51" t="s">
        <v>223</v>
      </c>
      <c r="C45" s="51">
        <v>10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</row>
    <row r="46" spans="1:12" ht="12" customHeight="1">
      <c r="A46" s="54">
        <v>38</v>
      </c>
      <c r="B46" s="51" t="s">
        <v>364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</row>
    <row r="47" spans="1:12" ht="12" customHeight="1">
      <c r="A47" s="54">
        <v>39</v>
      </c>
      <c r="B47" s="51" t="s">
        <v>366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</row>
    <row r="48" spans="1:12" s="165" customFormat="1" ht="12" customHeight="1">
      <c r="A48" s="163"/>
      <c r="B48" s="128" t="s">
        <v>225</v>
      </c>
      <c r="C48" s="128">
        <f>SUM(C35:C47)</f>
        <v>10</v>
      </c>
      <c r="D48" s="128">
        <f aca="true" t="shared" si="2" ref="D48:L48">SUM(D35:D47)</f>
        <v>0</v>
      </c>
      <c r="E48" s="128">
        <f t="shared" si="2"/>
        <v>0</v>
      </c>
      <c r="F48" s="128">
        <f t="shared" si="2"/>
        <v>0</v>
      </c>
      <c r="G48" s="128">
        <f t="shared" si="2"/>
        <v>0</v>
      </c>
      <c r="H48" s="128">
        <f t="shared" si="2"/>
        <v>0</v>
      </c>
      <c r="I48" s="128">
        <f t="shared" si="2"/>
        <v>0</v>
      </c>
      <c r="J48" s="128">
        <f t="shared" si="2"/>
        <v>0</v>
      </c>
      <c r="K48" s="128">
        <f t="shared" si="2"/>
        <v>0</v>
      </c>
      <c r="L48" s="128">
        <f t="shared" si="2"/>
        <v>0</v>
      </c>
    </row>
    <row r="49" spans="1:12" s="165" customFormat="1" ht="12" customHeight="1">
      <c r="A49" s="163"/>
      <c r="B49" s="87" t="s">
        <v>123</v>
      </c>
      <c r="C49" s="128">
        <f aca="true" t="shared" si="3" ref="C49:L49">C26+C34+C48</f>
        <v>2375</v>
      </c>
      <c r="D49" s="128">
        <f t="shared" si="3"/>
        <v>744</v>
      </c>
      <c r="E49" s="164">
        <f t="shared" si="3"/>
        <v>192</v>
      </c>
      <c r="F49" s="128">
        <f t="shared" si="3"/>
        <v>155</v>
      </c>
      <c r="G49" s="128">
        <f t="shared" si="3"/>
        <v>4200</v>
      </c>
      <c r="H49" s="128">
        <f t="shared" si="3"/>
        <v>3071</v>
      </c>
      <c r="I49" s="128">
        <f t="shared" si="3"/>
        <v>2324</v>
      </c>
      <c r="J49" s="164">
        <f t="shared" si="3"/>
        <v>445</v>
      </c>
      <c r="K49" s="128">
        <f t="shared" si="3"/>
        <v>433</v>
      </c>
      <c r="L49" s="128">
        <f t="shared" si="3"/>
        <v>23364</v>
      </c>
    </row>
    <row r="50" spans="1:12" ht="18" customHeight="1">
      <c r="A50" s="31"/>
      <c r="B50" s="27"/>
      <c r="C50" s="63"/>
      <c r="D50" s="63"/>
      <c r="E50" s="68"/>
      <c r="F50" s="63"/>
      <c r="G50" s="63"/>
      <c r="H50" s="78"/>
      <c r="I50" s="78"/>
      <c r="J50" s="30"/>
      <c r="K50" s="30"/>
      <c r="L50" s="78"/>
    </row>
    <row r="51" spans="1:12" ht="18" customHeight="1">
      <c r="A51" s="31"/>
      <c r="B51" s="27"/>
      <c r="C51" s="63"/>
      <c r="D51" s="63"/>
      <c r="E51" s="28"/>
      <c r="F51" s="29"/>
      <c r="G51" s="63"/>
      <c r="H51" s="78"/>
      <c r="I51" s="78"/>
      <c r="J51" s="30"/>
      <c r="K51" s="30"/>
      <c r="L51" s="78"/>
    </row>
    <row r="52" spans="1:12" ht="18" customHeight="1">
      <c r="A52" s="31"/>
      <c r="B52" s="27"/>
      <c r="C52" s="63"/>
      <c r="D52" s="78"/>
      <c r="E52" s="32"/>
      <c r="F52" s="30"/>
      <c r="G52" s="78"/>
      <c r="H52" s="78"/>
      <c r="I52" s="78"/>
      <c r="J52" s="30"/>
      <c r="K52" s="30"/>
      <c r="L52" s="78"/>
    </row>
    <row r="53" spans="1:12" ht="13.5" customHeight="1">
      <c r="A53" s="43" t="s">
        <v>122</v>
      </c>
      <c r="B53" s="43" t="s">
        <v>5</v>
      </c>
      <c r="C53" s="663" t="s">
        <v>261</v>
      </c>
      <c r="D53" s="734"/>
      <c r="E53" s="734"/>
      <c r="F53" s="734"/>
      <c r="G53" s="664"/>
      <c r="H53" s="663" t="s">
        <v>262</v>
      </c>
      <c r="I53" s="734"/>
      <c r="J53" s="734"/>
      <c r="K53" s="734"/>
      <c r="L53" s="664"/>
    </row>
    <row r="54" spans="1:12" ht="13.5" customHeight="1">
      <c r="A54" s="44" t="s">
        <v>6</v>
      </c>
      <c r="B54" s="75"/>
      <c r="C54" s="81" t="s">
        <v>75</v>
      </c>
      <c r="D54" s="81" t="s">
        <v>210</v>
      </c>
      <c r="E54" s="55" t="s">
        <v>63</v>
      </c>
      <c r="F54" s="55" t="s">
        <v>63</v>
      </c>
      <c r="G54" s="81" t="s">
        <v>165</v>
      </c>
      <c r="H54" s="81" t="s">
        <v>75</v>
      </c>
      <c r="I54" s="81" t="s">
        <v>210</v>
      </c>
      <c r="J54" s="55" t="s">
        <v>63</v>
      </c>
      <c r="K54" s="55" t="s">
        <v>63</v>
      </c>
      <c r="L54" s="81" t="s">
        <v>165</v>
      </c>
    </row>
    <row r="55" spans="1:12" ht="12.75">
      <c r="A55" s="47"/>
      <c r="B55" s="71"/>
      <c r="C55" s="95"/>
      <c r="D55" s="91" t="s">
        <v>211</v>
      </c>
      <c r="E55" s="56" t="s">
        <v>107</v>
      </c>
      <c r="F55" s="56" t="s">
        <v>150</v>
      </c>
      <c r="G55" s="92" t="s">
        <v>260</v>
      </c>
      <c r="H55" s="95"/>
      <c r="I55" s="91" t="s">
        <v>211</v>
      </c>
      <c r="J55" s="56" t="s">
        <v>107</v>
      </c>
      <c r="K55" s="56" t="s">
        <v>150</v>
      </c>
      <c r="L55" s="92" t="s">
        <v>260</v>
      </c>
    </row>
    <row r="56" spans="1:12" ht="15.75" customHeight="1">
      <c r="A56" s="54">
        <v>40</v>
      </c>
      <c r="B56" s="57" t="s">
        <v>78</v>
      </c>
      <c r="C56" s="51">
        <v>0</v>
      </c>
      <c r="D56" s="51">
        <v>20</v>
      </c>
      <c r="E56" s="51">
        <v>4</v>
      </c>
      <c r="F56" s="51">
        <v>4</v>
      </c>
      <c r="G56" s="51">
        <v>212</v>
      </c>
      <c r="H56" s="51">
        <v>25</v>
      </c>
      <c r="I56" s="51">
        <v>16</v>
      </c>
      <c r="J56" s="51">
        <v>4</v>
      </c>
      <c r="K56" s="51">
        <v>4</v>
      </c>
      <c r="L56" s="51">
        <v>119</v>
      </c>
    </row>
    <row r="57" spans="1:12" ht="15.75" customHeight="1">
      <c r="A57" s="54">
        <v>41</v>
      </c>
      <c r="B57" s="57" t="s">
        <v>278</v>
      </c>
      <c r="C57" s="51">
        <v>1100</v>
      </c>
      <c r="D57" s="51">
        <v>55</v>
      </c>
      <c r="E57" s="51">
        <v>20</v>
      </c>
      <c r="F57" s="51">
        <v>20</v>
      </c>
      <c r="G57" s="51">
        <v>947</v>
      </c>
      <c r="H57" s="51">
        <v>10700</v>
      </c>
      <c r="I57" s="51">
        <v>2089</v>
      </c>
      <c r="J57" s="51">
        <v>348</v>
      </c>
      <c r="K57" s="51">
        <v>348</v>
      </c>
      <c r="L57" s="51">
        <v>6964</v>
      </c>
    </row>
    <row r="58" spans="1:12" ht="15.75" customHeight="1">
      <c r="A58" s="54">
        <v>42</v>
      </c>
      <c r="B58" s="57" t="s">
        <v>30</v>
      </c>
      <c r="C58" s="51">
        <v>0</v>
      </c>
      <c r="D58" s="51">
        <v>0</v>
      </c>
      <c r="E58" s="51">
        <v>0</v>
      </c>
      <c r="F58" s="51">
        <v>0</v>
      </c>
      <c r="G58" s="51">
        <v>347</v>
      </c>
      <c r="H58" s="51">
        <v>0</v>
      </c>
      <c r="I58" s="51">
        <v>0</v>
      </c>
      <c r="J58" s="51">
        <v>0</v>
      </c>
      <c r="K58" s="51">
        <v>0</v>
      </c>
      <c r="L58" s="51">
        <v>17</v>
      </c>
    </row>
    <row r="59" spans="1:12" ht="15.75" customHeight="1">
      <c r="A59" s="54">
        <v>43</v>
      </c>
      <c r="B59" s="57" t="s">
        <v>234</v>
      </c>
      <c r="C59" s="51">
        <v>0</v>
      </c>
      <c r="D59" s="51">
        <v>0</v>
      </c>
      <c r="E59" s="51">
        <v>0</v>
      </c>
      <c r="F59" s="51">
        <v>0</v>
      </c>
      <c r="G59" s="51">
        <v>90</v>
      </c>
      <c r="H59" s="51">
        <v>100</v>
      </c>
      <c r="I59" s="51">
        <v>394</v>
      </c>
      <c r="J59" s="51">
        <v>98</v>
      </c>
      <c r="K59" s="51">
        <v>98</v>
      </c>
      <c r="L59" s="51">
        <v>1320</v>
      </c>
    </row>
    <row r="60" spans="1:12" ht="15.75" customHeight="1">
      <c r="A60" s="54">
        <v>44</v>
      </c>
      <c r="B60" s="57" t="s">
        <v>29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46</v>
      </c>
      <c r="J60" s="51">
        <v>10</v>
      </c>
      <c r="K60" s="51">
        <v>10</v>
      </c>
      <c r="L60" s="51">
        <v>791</v>
      </c>
    </row>
    <row r="61" spans="1:12" ht="15.75" customHeight="1">
      <c r="A61" s="54">
        <v>45</v>
      </c>
      <c r="B61" s="57" t="s">
        <v>391</v>
      </c>
      <c r="C61" s="51">
        <v>0</v>
      </c>
      <c r="D61" s="51">
        <v>13</v>
      </c>
      <c r="E61" s="51">
        <v>9</v>
      </c>
      <c r="F61" s="51">
        <v>9</v>
      </c>
      <c r="G61" s="51">
        <v>17</v>
      </c>
      <c r="H61" s="51">
        <v>0</v>
      </c>
      <c r="I61" s="51">
        <v>385</v>
      </c>
      <c r="J61" s="51">
        <v>103</v>
      </c>
      <c r="K61" s="51">
        <v>103</v>
      </c>
      <c r="L61" s="51">
        <v>3252</v>
      </c>
    </row>
    <row r="62" spans="1:12" ht="15.75" customHeight="1">
      <c r="A62" s="54">
        <v>46</v>
      </c>
      <c r="B62" s="57" t="s">
        <v>25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379</v>
      </c>
      <c r="J62" s="51">
        <v>70</v>
      </c>
      <c r="K62" s="51">
        <v>70</v>
      </c>
      <c r="L62" s="51">
        <v>1757</v>
      </c>
    </row>
    <row r="63" spans="1:12" ht="15.75" customHeight="1">
      <c r="A63" s="54">
        <v>47</v>
      </c>
      <c r="B63" s="57" t="s">
        <v>28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300</v>
      </c>
      <c r="I63" s="51">
        <v>47</v>
      </c>
      <c r="J63" s="51">
        <v>11</v>
      </c>
      <c r="K63" s="51">
        <v>11</v>
      </c>
      <c r="L63" s="51">
        <v>186</v>
      </c>
    </row>
    <row r="64" spans="1:12" s="165" customFormat="1" ht="15.75" customHeight="1">
      <c r="A64" s="54"/>
      <c r="B64" s="87" t="s">
        <v>123</v>
      </c>
      <c r="C64" s="128">
        <f aca="true" t="shared" si="4" ref="C64:L64">SUM(C56:C63)</f>
        <v>1100</v>
      </c>
      <c r="D64" s="128">
        <f t="shared" si="4"/>
        <v>88</v>
      </c>
      <c r="E64" s="164">
        <f t="shared" si="4"/>
        <v>33</v>
      </c>
      <c r="F64" s="128">
        <f t="shared" si="4"/>
        <v>33</v>
      </c>
      <c r="G64" s="128">
        <f t="shared" si="4"/>
        <v>1613</v>
      </c>
      <c r="H64" s="128">
        <f t="shared" si="4"/>
        <v>11125</v>
      </c>
      <c r="I64" s="128">
        <f t="shared" si="4"/>
        <v>3356</v>
      </c>
      <c r="J64" s="164">
        <f t="shared" si="4"/>
        <v>644</v>
      </c>
      <c r="K64" s="128">
        <f t="shared" si="4"/>
        <v>644</v>
      </c>
      <c r="L64" s="128">
        <f t="shared" si="4"/>
        <v>14406</v>
      </c>
    </row>
    <row r="65" spans="1:12" ht="15.75" customHeight="1">
      <c r="A65" s="54"/>
      <c r="C65" s="51"/>
      <c r="D65" s="51"/>
      <c r="E65" s="57"/>
      <c r="F65" s="51"/>
      <c r="G65" s="51"/>
      <c r="H65" s="51"/>
      <c r="I65" s="51"/>
      <c r="J65" s="51"/>
      <c r="K65" s="51"/>
      <c r="L65" s="51"/>
    </row>
    <row r="66" spans="1:13" ht="15.75" customHeight="1">
      <c r="A66" s="54">
        <v>48</v>
      </c>
      <c r="B66" s="51" t="s">
        <v>34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100"/>
    </row>
    <row r="67" spans="1:12" ht="15.75" customHeight="1">
      <c r="A67" s="54">
        <v>49</v>
      </c>
      <c r="B67" s="51" t="s">
        <v>130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s="165" customFormat="1" ht="15.75" customHeight="1">
      <c r="A68" s="163"/>
      <c r="B68" s="87" t="s">
        <v>123</v>
      </c>
      <c r="C68" s="128">
        <f aca="true" t="shared" si="5" ref="C68:L68">SUM(C66:C67)</f>
        <v>0</v>
      </c>
      <c r="D68" s="128">
        <f t="shared" si="5"/>
        <v>0</v>
      </c>
      <c r="E68" s="164">
        <f t="shared" si="5"/>
        <v>0</v>
      </c>
      <c r="F68" s="128">
        <f t="shared" si="5"/>
        <v>0</v>
      </c>
      <c r="G68" s="128">
        <f t="shared" si="5"/>
        <v>0</v>
      </c>
      <c r="H68" s="128">
        <f t="shared" si="5"/>
        <v>0</v>
      </c>
      <c r="I68" s="128">
        <f t="shared" si="5"/>
        <v>0</v>
      </c>
      <c r="J68" s="164">
        <f t="shared" si="5"/>
        <v>0</v>
      </c>
      <c r="K68" s="128">
        <f t="shared" si="5"/>
        <v>0</v>
      </c>
      <c r="L68" s="128">
        <f t="shared" si="5"/>
        <v>0</v>
      </c>
    </row>
    <row r="69" spans="1:12" s="165" customFormat="1" ht="15.75" customHeight="1">
      <c r="A69" s="163"/>
      <c r="B69" s="87" t="s">
        <v>35</v>
      </c>
      <c r="C69" s="128">
        <f aca="true" t="shared" si="6" ref="C69:L69">+C49+C64+C68</f>
        <v>3475</v>
      </c>
      <c r="D69" s="128">
        <f t="shared" si="6"/>
        <v>832</v>
      </c>
      <c r="E69" s="164">
        <f t="shared" si="6"/>
        <v>225</v>
      </c>
      <c r="F69" s="128">
        <f t="shared" si="6"/>
        <v>188</v>
      </c>
      <c r="G69" s="128">
        <f t="shared" si="6"/>
        <v>5813</v>
      </c>
      <c r="H69" s="128">
        <f t="shared" si="6"/>
        <v>14196</v>
      </c>
      <c r="I69" s="128">
        <f t="shared" si="6"/>
        <v>5680</v>
      </c>
      <c r="J69" s="164">
        <f t="shared" si="6"/>
        <v>1089</v>
      </c>
      <c r="K69" s="128">
        <f t="shared" si="6"/>
        <v>1077</v>
      </c>
      <c r="L69" s="128">
        <f t="shared" si="6"/>
        <v>37770</v>
      </c>
    </row>
    <row r="73" spans="3:4" ht="12.75">
      <c r="C73" s="15">
        <v>16</v>
      </c>
      <c r="D73" s="15" t="s">
        <v>411</v>
      </c>
    </row>
    <row r="74" spans="3:4" ht="12.75">
      <c r="C74" s="15">
        <v>16</v>
      </c>
      <c r="D74" s="15" t="s">
        <v>412</v>
      </c>
    </row>
  </sheetData>
  <sheetProtection/>
  <mergeCells count="4">
    <mergeCell ref="C4:G4"/>
    <mergeCell ref="H4:L4"/>
    <mergeCell ref="C53:G53"/>
    <mergeCell ref="H53:L53"/>
  </mergeCells>
  <printOptions gridLines="1" horizontalCentered="1"/>
  <pageMargins left="0.75" right="0.75" top="0.45" bottom="0.75" header="0.37" footer="0.5"/>
  <pageSetup blackAndWhite="1" horizontalDpi="300" verticalDpi="300" orientation="landscape" paperSize="9" scale="81" r:id="rId2"/>
  <rowBreaks count="1" manualBreakCount="1">
    <brk id="49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21.421875" style="6" customWidth="1"/>
    <col min="5" max="5" width="21.421875" style="22" customWidth="1"/>
  </cols>
  <sheetData>
    <row r="1" spans="1:5" ht="15">
      <c r="A1" s="2"/>
      <c r="B1" s="2"/>
      <c r="C1" s="4"/>
      <c r="D1" s="3"/>
      <c r="E1" s="21"/>
    </row>
    <row r="2" spans="4:5" ht="15">
      <c r="D2" s="3"/>
      <c r="E2" s="21"/>
    </row>
    <row r="3" spans="4:5" ht="15">
      <c r="D3" s="3"/>
      <c r="E3" s="21"/>
    </row>
    <row r="4" spans="1:5" ht="12.75">
      <c r="A4" s="484" t="s">
        <v>122</v>
      </c>
      <c r="B4" s="484" t="s">
        <v>5</v>
      </c>
      <c r="C4" s="458" t="s">
        <v>271</v>
      </c>
      <c r="D4" s="458" t="s">
        <v>263</v>
      </c>
      <c r="E4" s="458" t="s">
        <v>264</v>
      </c>
    </row>
    <row r="5" spans="1:5" ht="12.75">
      <c r="A5" s="484" t="s">
        <v>6</v>
      </c>
      <c r="B5" s="236"/>
      <c r="C5" s="556"/>
      <c r="D5" s="458"/>
      <c r="E5" s="458" t="s">
        <v>265</v>
      </c>
    </row>
    <row r="6" spans="1:5" s="98" customFormat="1" ht="12.75">
      <c r="A6" s="236">
        <v>1</v>
      </c>
      <c r="B6" s="264" t="s">
        <v>7</v>
      </c>
      <c r="C6" s="264">
        <v>48</v>
      </c>
      <c r="D6" s="264">
        <v>1945</v>
      </c>
      <c r="E6" s="264">
        <v>895</v>
      </c>
    </row>
    <row r="7" spans="1:5" s="98" customFormat="1" ht="12.75">
      <c r="A7" s="236">
        <v>2</v>
      </c>
      <c r="B7" s="264" t="s">
        <v>8</v>
      </c>
      <c r="C7" s="264">
        <v>0</v>
      </c>
      <c r="D7" s="264">
        <v>29</v>
      </c>
      <c r="E7" s="264">
        <v>0</v>
      </c>
    </row>
    <row r="8" spans="1:5" s="98" customFormat="1" ht="12.75">
      <c r="A8" s="236">
        <v>3</v>
      </c>
      <c r="B8" s="264" t="s">
        <v>9</v>
      </c>
      <c r="C8" s="264">
        <v>14277</v>
      </c>
      <c r="D8" s="264">
        <v>793</v>
      </c>
      <c r="E8" s="264">
        <v>52</v>
      </c>
    </row>
    <row r="9" spans="1:5" ht="12.75">
      <c r="A9" s="236">
        <v>4</v>
      </c>
      <c r="B9" s="264" t="s">
        <v>10</v>
      </c>
      <c r="C9" s="264">
        <v>1708</v>
      </c>
      <c r="D9" s="264">
        <v>14551</v>
      </c>
      <c r="E9" s="264">
        <v>807</v>
      </c>
    </row>
    <row r="10" spans="1:5" ht="12.75">
      <c r="A10" s="236">
        <v>5</v>
      </c>
      <c r="B10" s="264" t="s">
        <v>11</v>
      </c>
      <c r="C10" s="264">
        <v>0</v>
      </c>
      <c r="D10" s="264">
        <v>376</v>
      </c>
      <c r="E10" s="264">
        <v>29</v>
      </c>
    </row>
    <row r="11" spans="1:5" ht="12.75">
      <c r="A11" s="236">
        <v>6</v>
      </c>
      <c r="B11" s="264" t="s">
        <v>12</v>
      </c>
      <c r="C11" s="264">
        <v>97300</v>
      </c>
      <c r="D11" s="264">
        <v>102</v>
      </c>
      <c r="E11" s="264">
        <v>62</v>
      </c>
    </row>
    <row r="12" spans="1:5" ht="12.75">
      <c r="A12" s="236">
        <v>7</v>
      </c>
      <c r="B12" s="264" t="s">
        <v>13</v>
      </c>
      <c r="C12" s="264">
        <v>127</v>
      </c>
      <c r="D12" s="264">
        <v>44111</v>
      </c>
      <c r="E12" s="264">
        <v>10206</v>
      </c>
    </row>
    <row r="13" spans="1:5" ht="12.75">
      <c r="A13" s="236">
        <v>8</v>
      </c>
      <c r="B13" s="264" t="s">
        <v>162</v>
      </c>
      <c r="C13" s="264">
        <v>0</v>
      </c>
      <c r="D13" s="264">
        <v>0</v>
      </c>
      <c r="E13" s="264">
        <v>0</v>
      </c>
    </row>
    <row r="14" spans="1:5" ht="12.75">
      <c r="A14" s="236">
        <v>9</v>
      </c>
      <c r="B14" s="264" t="s">
        <v>14</v>
      </c>
      <c r="C14" s="264">
        <v>5213</v>
      </c>
      <c r="D14" s="264">
        <v>50</v>
      </c>
      <c r="E14" s="264">
        <v>6</v>
      </c>
    </row>
    <row r="15" spans="1:5" ht="12.75">
      <c r="A15" s="236">
        <v>10</v>
      </c>
      <c r="B15" s="264" t="s">
        <v>15</v>
      </c>
      <c r="C15" s="264">
        <v>14</v>
      </c>
      <c r="D15" s="264">
        <v>64</v>
      </c>
      <c r="E15" s="264">
        <v>10</v>
      </c>
    </row>
    <row r="16" spans="1:5" ht="12.75">
      <c r="A16" s="236">
        <v>11</v>
      </c>
      <c r="B16" s="264" t="s">
        <v>16</v>
      </c>
      <c r="C16" s="264">
        <v>0</v>
      </c>
      <c r="D16" s="264">
        <v>146</v>
      </c>
      <c r="E16" s="264">
        <v>23</v>
      </c>
    </row>
    <row r="17" spans="1:5" ht="12.75">
      <c r="A17" s="236">
        <v>12</v>
      </c>
      <c r="B17" s="264" t="s">
        <v>17</v>
      </c>
      <c r="C17" s="264">
        <v>7066</v>
      </c>
      <c r="D17" s="264">
        <v>1106</v>
      </c>
      <c r="E17" s="264">
        <v>202</v>
      </c>
    </row>
    <row r="18" spans="1:5" ht="12.75">
      <c r="A18" s="236">
        <v>13</v>
      </c>
      <c r="B18" s="264" t="s">
        <v>164</v>
      </c>
      <c r="C18" s="264">
        <v>0</v>
      </c>
      <c r="D18" s="264">
        <v>0</v>
      </c>
      <c r="E18" s="264">
        <v>0</v>
      </c>
    </row>
    <row r="19" spans="1:5" ht="12.75">
      <c r="A19" s="236">
        <v>14</v>
      </c>
      <c r="B19" s="264" t="s">
        <v>77</v>
      </c>
      <c r="C19" s="264">
        <v>10408</v>
      </c>
      <c r="D19" s="264">
        <v>268</v>
      </c>
      <c r="E19" s="264">
        <v>570</v>
      </c>
    </row>
    <row r="20" spans="1:5" ht="12.75">
      <c r="A20" s="236">
        <v>15</v>
      </c>
      <c r="B20" s="264" t="s">
        <v>105</v>
      </c>
      <c r="C20" s="264">
        <v>20812</v>
      </c>
      <c r="D20" s="264">
        <v>144</v>
      </c>
      <c r="E20" s="264">
        <v>10</v>
      </c>
    </row>
    <row r="21" spans="1:5" ht="12.75">
      <c r="A21" s="236">
        <v>16</v>
      </c>
      <c r="B21" s="264" t="s">
        <v>20</v>
      </c>
      <c r="C21" s="264">
        <v>9060</v>
      </c>
      <c r="D21" s="264">
        <v>707</v>
      </c>
      <c r="E21" s="264">
        <v>302</v>
      </c>
    </row>
    <row r="22" spans="1:5" ht="12.75">
      <c r="A22" s="236">
        <v>17</v>
      </c>
      <c r="B22" s="264" t="s">
        <v>21</v>
      </c>
      <c r="C22" s="264">
        <v>73</v>
      </c>
      <c r="D22" s="264">
        <v>23650</v>
      </c>
      <c r="E22" s="264">
        <v>672</v>
      </c>
    </row>
    <row r="23" spans="1:5" ht="12.75">
      <c r="A23" s="236">
        <v>18</v>
      </c>
      <c r="B23" s="264" t="s">
        <v>19</v>
      </c>
      <c r="C23" s="264">
        <v>0</v>
      </c>
      <c r="D23" s="264">
        <v>19</v>
      </c>
      <c r="E23" s="264">
        <v>2</v>
      </c>
    </row>
    <row r="24" spans="1:5" ht="12.75">
      <c r="A24" s="236">
        <v>19</v>
      </c>
      <c r="B24" s="264" t="s">
        <v>124</v>
      </c>
      <c r="C24" s="264">
        <v>0</v>
      </c>
      <c r="D24" s="264">
        <v>0</v>
      </c>
      <c r="E24" s="264">
        <v>0</v>
      </c>
    </row>
    <row r="25" spans="1:5" ht="12.75">
      <c r="A25" s="236"/>
      <c r="B25" s="412" t="s">
        <v>224</v>
      </c>
      <c r="C25" s="412">
        <f>SUM(C6:C24)</f>
        <v>166106</v>
      </c>
      <c r="D25" s="412">
        <f>SUM(D6:D24)</f>
        <v>88061</v>
      </c>
      <c r="E25" s="412">
        <f>SUM(E6:E24)</f>
        <v>13848</v>
      </c>
    </row>
    <row r="26" spans="1:5" ht="12.75">
      <c r="A26" s="54">
        <v>20</v>
      </c>
      <c r="B26" s="264" t="s">
        <v>23</v>
      </c>
      <c r="C26" s="264">
        <v>0</v>
      </c>
      <c r="D26" s="264">
        <v>0</v>
      </c>
      <c r="E26" s="264">
        <v>0</v>
      </c>
    </row>
    <row r="27" spans="1:5" ht="12.75">
      <c r="A27" s="54">
        <v>21</v>
      </c>
      <c r="B27" s="264" t="s">
        <v>221</v>
      </c>
      <c r="C27" s="264">
        <v>0</v>
      </c>
      <c r="D27" s="264">
        <v>0</v>
      </c>
      <c r="E27" s="264">
        <v>0</v>
      </c>
    </row>
    <row r="28" spans="1:5" ht="12.75">
      <c r="A28" s="54">
        <v>22</v>
      </c>
      <c r="B28" s="264" t="s">
        <v>169</v>
      </c>
      <c r="C28" s="264">
        <v>0</v>
      </c>
      <c r="D28" s="264">
        <v>0</v>
      </c>
      <c r="E28" s="264">
        <v>0</v>
      </c>
    </row>
    <row r="29" spans="1:5" ht="12.75">
      <c r="A29" s="54">
        <v>23</v>
      </c>
      <c r="B29" s="264" t="s">
        <v>22</v>
      </c>
      <c r="C29" s="264">
        <v>1194</v>
      </c>
      <c r="D29" s="264">
        <v>0</v>
      </c>
      <c r="E29" s="264">
        <v>0</v>
      </c>
    </row>
    <row r="30" spans="1:5" ht="12.75">
      <c r="A30" s="54">
        <v>24</v>
      </c>
      <c r="B30" s="264" t="s">
        <v>141</v>
      </c>
      <c r="C30" s="264">
        <v>0</v>
      </c>
      <c r="D30" s="264">
        <v>9</v>
      </c>
      <c r="E30" s="264">
        <v>26</v>
      </c>
    </row>
    <row r="31" spans="1:5" ht="12.75">
      <c r="A31" s="54">
        <v>25</v>
      </c>
      <c r="B31" s="264" t="s">
        <v>18</v>
      </c>
      <c r="C31" s="264">
        <v>47512</v>
      </c>
      <c r="D31" s="264">
        <v>1518</v>
      </c>
      <c r="E31" s="264">
        <v>37</v>
      </c>
    </row>
    <row r="32" spans="1:5" ht="12.75">
      <c r="A32" s="54">
        <v>26</v>
      </c>
      <c r="B32" s="264" t="s">
        <v>104</v>
      </c>
      <c r="C32" s="264">
        <v>5382</v>
      </c>
      <c r="D32" s="264">
        <v>1310</v>
      </c>
      <c r="E32" s="264">
        <v>2592</v>
      </c>
    </row>
    <row r="33" spans="1:5" ht="12.75">
      <c r="A33" s="236"/>
      <c r="B33" s="412" t="s">
        <v>226</v>
      </c>
      <c r="C33" s="412">
        <f>SUM(C26:C32)</f>
        <v>54088</v>
      </c>
      <c r="D33" s="412">
        <f>SUM(D26:D32)</f>
        <v>2837</v>
      </c>
      <c r="E33" s="412">
        <f>SUM(E26:E32)</f>
        <v>2655</v>
      </c>
    </row>
    <row r="34" spans="1:5" ht="12.75">
      <c r="A34" s="265">
        <v>28</v>
      </c>
      <c r="B34" s="264" t="s">
        <v>163</v>
      </c>
      <c r="C34" s="264">
        <v>224</v>
      </c>
      <c r="D34" s="264">
        <v>180</v>
      </c>
      <c r="E34" s="264">
        <v>15</v>
      </c>
    </row>
    <row r="35" spans="1:5" ht="12.75">
      <c r="A35" s="265">
        <v>29</v>
      </c>
      <c r="B35" s="264" t="s">
        <v>231</v>
      </c>
      <c r="C35" s="264">
        <v>0</v>
      </c>
      <c r="D35" s="264">
        <v>0</v>
      </c>
      <c r="E35" s="264">
        <v>0</v>
      </c>
    </row>
    <row r="36" spans="1:5" ht="12.75">
      <c r="A36" s="265">
        <v>30</v>
      </c>
      <c r="B36" s="264" t="s">
        <v>218</v>
      </c>
      <c r="C36" s="264">
        <v>783</v>
      </c>
      <c r="D36" s="264">
        <v>0</v>
      </c>
      <c r="E36" s="264">
        <v>0</v>
      </c>
    </row>
    <row r="37" spans="1:5" ht="12.75">
      <c r="A37" s="265">
        <v>31</v>
      </c>
      <c r="B37" s="264" t="s">
        <v>236</v>
      </c>
      <c r="C37" s="264">
        <v>491</v>
      </c>
      <c r="D37" s="264">
        <v>9</v>
      </c>
      <c r="E37" s="264">
        <v>1</v>
      </c>
    </row>
    <row r="38" spans="1:5" ht="12.75">
      <c r="A38" s="265">
        <v>32</v>
      </c>
      <c r="B38" s="264" t="s">
        <v>219</v>
      </c>
      <c r="C38" s="264">
        <v>0</v>
      </c>
      <c r="D38" s="264">
        <v>0</v>
      </c>
      <c r="E38" s="264">
        <v>0</v>
      </c>
    </row>
    <row r="39" spans="1:5" ht="12.75">
      <c r="A39" s="265">
        <v>33</v>
      </c>
      <c r="B39" s="264" t="s">
        <v>254</v>
      </c>
      <c r="C39" s="264">
        <v>0</v>
      </c>
      <c r="D39" s="264">
        <v>0</v>
      </c>
      <c r="E39" s="264">
        <v>0</v>
      </c>
    </row>
    <row r="40" spans="1:5" ht="12.75">
      <c r="A40" s="555">
        <v>34</v>
      </c>
      <c r="B40" s="264" t="s">
        <v>242</v>
      </c>
      <c r="C40" s="264">
        <v>0</v>
      </c>
      <c r="D40" s="264">
        <v>3</v>
      </c>
      <c r="E40" s="264">
        <v>2</v>
      </c>
    </row>
    <row r="41" spans="1:5" ht="12.75">
      <c r="A41" s="265">
        <v>35</v>
      </c>
      <c r="B41" s="264" t="s">
        <v>256</v>
      </c>
      <c r="C41" s="264">
        <v>54</v>
      </c>
      <c r="D41" s="264">
        <v>0</v>
      </c>
      <c r="E41" s="264">
        <v>0</v>
      </c>
    </row>
    <row r="42" spans="1:5" ht="12.75">
      <c r="A42" s="265">
        <v>36</v>
      </c>
      <c r="B42" s="264" t="s">
        <v>24</v>
      </c>
      <c r="C42" s="264">
        <v>2</v>
      </c>
      <c r="D42" s="264">
        <v>0</v>
      </c>
      <c r="E42" s="264">
        <v>0</v>
      </c>
    </row>
    <row r="43" spans="1:5" ht="12.75">
      <c r="A43" s="265">
        <v>37</v>
      </c>
      <c r="B43" s="264" t="s">
        <v>223</v>
      </c>
      <c r="C43" s="264">
        <v>0</v>
      </c>
      <c r="D43" s="264">
        <v>0</v>
      </c>
      <c r="E43" s="264">
        <v>0</v>
      </c>
    </row>
    <row r="44" spans="1:5" ht="12.75">
      <c r="A44" s="265">
        <v>38</v>
      </c>
      <c r="B44" s="264" t="s">
        <v>366</v>
      </c>
      <c r="C44" s="264">
        <v>0</v>
      </c>
      <c r="D44" s="264">
        <v>0</v>
      </c>
      <c r="E44" s="264">
        <v>0</v>
      </c>
    </row>
    <row r="45" spans="1:5" ht="12.75">
      <c r="A45" s="265">
        <v>39</v>
      </c>
      <c r="B45" s="264" t="s">
        <v>235</v>
      </c>
      <c r="C45" s="264">
        <v>0</v>
      </c>
      <c r="D45" s="264">
        <v>0</v>
      </c>
      <c r="E45" s="264">
        <v>0</v>
      </c>
    </row>
    <row r="46" spans="1:5" ht="12.75">
      <c r="A46" s="265">
        <v>40</v>
      </c>
      <c r="B46" s="412" t="s">
        <v>225</v>
      </c>
      <c r="C46" s="412">
        <f>SUM(C34:C45)</f>
        <v>1554</v>
      </c>
      <c r="D46" s="412">
        <f>SUM(D34:D45)</f>
        <v>192</v>
      </c>
      <c r="E46" s="412">
        <f>SUM(E34:E45)</f>
        <v>18</v>
      </c>
    </row>
    <row r="47" spans="1:5" ht="12.75">
      <c r="A47" s="236"/>
      <c r="B47" s="484" t="s">
        <v>123</v>
      </c>
      <c r="C47" s="413">
        <f>C25+C33+C46</f>
        <v>221748</v>
      </c>
      <c r="D47" s="413">
        <f>D25+D33+D46</f>
        <v>91090</v>
      </c>
      <c r="E47" s="413">
        <f>E25+E33+E46</f>
        <v>16521</v>
      </c>
    </row>
    <row r="48" spans="1:5" ht="12.75">
      <c r="A48" s="236"/>
      <c r="B48" s="484"/>
      <c r="C48" s="413"/>
      <c r="D48" s="413"/>
      <c r="E48" s="413"/>
    </row>
    <row r="49" spans="1:5" ht="12.75">
      <c r="A49" s="236"/>
      <c r="B49" s="484"/>
      <c r="C49" s="413"/>
      <c r="D49" s="413"/>
      <c r="E49" s="413"/>
    </row>
    <row r="50" spans="1:5" ht="15" customHeight="1">
      <c r="A50" s="236"/>
      <c r="B50" s="484"/>
      <c r="C50" s="413"/>
      <c r="D50" s="264"/>
      <c r="E50" s="264"/>
    </row>
    <row r="51" spans="1:5" ht="12.75">
      <c r="A51" s="484" t="s">
        <v>122</v>
      </c>
      <c r="B51" s="484" t="s">
        <v>5</v>
      </c>
      <c r="C51" s="458" t="s">
        <v>271</v>
      </c>
      <c r="D51" s="458" t="s">
        <v>263</v>
      </c>
      <c r="E51" s="458" t="s">
        <v>264</v>
      </c>
    </row>
    <row r="52" spans="1:5" ht="12.75">
      <c r="A52" s="484" t="s">
        <v>6</v>
      </c>
      <c r="B52" s="236"/>
      <c r="C52" s="556"/>
      <c r="D52" s="458"/>
      <c r="E52" s="458" t="s">
        <v>265</v>
      </c>
    </row>
    <row r="53" spans="1:5" ht="12.75">
      <c r="A53" s="236">
        <v>40</v>
      </c>
      <c r="B53" s="264" t="s">
        <v>26</v>
      </c>
      <c r="C53" s="264">
        <v>0</v>
      </c>
      <c r="D53" s="264">
        <v>0</v>
      </c>
      <c r="E53" s="264">
        <v>0</v>
      </c>
    </row>
    <row r="54" spans="1:5" ht="12.75">
      <c r="A54" s="236">
        <v>41</v>
      </c>
      <c r="B54" s="264" t="s">
        <v>31</v>
      </c>
      <c r="C54" s="264">
        <v>1085</v>
      </c>
      <c r="D54" s="264">
        <v>3614</v>
      </c>
      <c r="E54" s="264">
        <v>7</v>
      </c>
    </row>
    <row r="55" spans="1:5" ht="12.75">
      <c r="A55" s="236">
        <v>42</v>
      </c>
      <c r="B55" s="264" t="s">
        <v>138</v>
      </c>
      <c r="C55" s="264">
        <v>0</v>
      </c>
      <c r="D55" s="264">
        <v>0</v>
      </c>
      <c r="E55" s="264">
        <v>0</v>
      </c>
    </row>
    <row r="56" spans="1:5" ht="12.75">
      <c r="A56" s="236">
        <v>43</v>
      </c>
      <c r="B56" s="264" t="s">
        <v>32</v>
      </c>
      <c r="C56" s="264">
        <v>4132</v>
      </c>
      <c r="D56" s="264">
        <v>3766</v>
      </c>
      <c r="E56" s="264">
        <v>330</v>
      </c>
    </row>
    <row r="57" spans="1:5" ht="12.75">
      <c r="A57" s="236">
        <v>44</v>
      </c>
      <c r="B57" s="264" t="s">
        <v>78</v>
      </c>
      <c r="C57" s="264">
        <v>1568</v>
      </c>
      <c r="D57" s="264">
        <v>0</v>
      </c>
      <c r="E57" s="264">
        <v>0</v>
      </c>
    </row>
    <row r="58" spans="1:5" ht="12.75">
      <c r="A58" s="236"/>
      <c r="B58" s="190" t="s">
        <v>278</v>
      </c>
      <c r="C58" s="264">
        <v>51783</v>
      </c>
      <c r="D58" s="264">
        <v>5120</v>
      </c>
      <c r="E58" s="264">
        <v>238</v>
      </c>
    </row>
    <row r="59" spans="1:5" ht="12.75">
      <c r="A59" s="236">
        <v>45</v>
      </c>
      <c r="B59" s="264" t="s">
        <v>30</v>
      </c>
      <c r="C59" s="264">
        <v>278</v>
      </c>
      <c r="D59" s="264">
        <v>954</v>
      </c>
      <c r="E59" s="264">
        <v>94</v>
      </c>
    </row>
    <row r="60" spans="1:5" ht="12.75">
      <c r="A60" s="236">
        <v>46</v>
      </c>
      <c r="B60" s="264" t="s">
        <v>234</v>
      </c>
      <c r="C60" s="264">
        <v>12237</v>
      </c>
      <c r="D60" s="264">
        <v>414</v>
      </c>
      <c r="E60" s="264">
        <v>24</v>
      </c>
    </row>
    <row r="61" spans="1:5" ht="12.75">
      <c r="A61" s="236">
        <v>47</v>
      </c>
      <c r="B61" s="264" t="s">
        <v>33</v>
      </c>
      <c r="C61" s="264">
        <v>5907</v>
      </c>
      <c r="D61" s="264">
        <v>35</v>
      </c>
      <c r="E61" s="264">
        <v>12</v>
      </c>
    </row>
    <row r="62" spans="1:5" ht="12.75">
      <c r="A62" s="236">
        <v>48</v>
      </c>
      <c r="B62" s="264" t="s">
        <v>29</v>
      </c>
      <c r="C62" s="264">
        <v>11663</v>
      </c>
      <c r="D62" s="264">
        <v>1043</v>
      </c>
      <c r="E62" s="264">
        <v>109</v>
      </c>
    </row>
    <row r="63" spans="1:5" ht="12.75">
      <c r="A63" s="236">
        <v>49</v>
      </c>
      <c r="B63" s="264" t="s">
        <v>243</v>
      </c>
      <c r="C63" s="264">
        <v>12725</v>
      </c>
      <c r="D63" s="264">
        <v>3282</v>
      </c>
      <c r="E63" s="264">
        <v>207</v>
      </c>
    </row>
    <row r="64" spans="1:5" ht="12.75">
      <c r="A64" s="236">
        <v>50</v>
      </c>
      <c r="B64" s="264" t="s">
        <v>25</v>
      </c>
      <c r="C64" s="264">
        <v>12237</v>
      </c>
      <c r="D64" s="264">
        <v>414</v>
      </c>
      <c r="E64" s="264">
        <v>24</v>
      </c>
    </row>
    <row r="65" spans="1:5" ht="12.75">
      <c r="A65" s="236">
        <v>51</v>
      </c>
      <c r="B65" s="264" t="s">
        <v>27</v>
      </c>
      <c r="C65" s="264">
        <v>0</v>
      </c>
      <c r="D65" s="264">
        <v>9</v>
      </c>
      <c r="E65" s="264">
        <v>0</v>
      </c>
    </row>
    <row r="66" spans="1:5" ht="12.75">
      <c r="A66" s="236">
        <v>52</v>
      </c>
      <c r="B66" s="264" t="s">
        <v>28</v>
      </c>
      <c r="C66" s="264">
        <v>4799</v>
      </c>
      <c r="D66" s="264">
        <v>23</v>
      </c>
      <c r="E66" s="264">
        <v>3</v>
      </c>
    </row>
    <row r="67" spans="1:5" ht="12.75">
      <c r="A67" s="236"/>
      <c r="B67" s="484" t="s">
        <v>123</v>
      </c>
      <c r="C67" s="413">
        <f>SUM(C53:C66)</f>
        <v>118414</v>
      </c>
      <c r="D67" s="413">
        <f>SUM(D53:D66)</f>
        <v>18674</v>
      </c>
      <c r="E67" s="413">
        <f>SUM(E53:E66)</f>
        <v>1048</v>
      </c>
    </row>
    <row r="68" spans="1:5" ht="12.75">
      <c r="A68" s="236"/>
      <c r="B68" s="236" t="s">
        <v>36</v>
      </c>
      <c r="C68" s="264"/>
      <c r="D68" s="264"/>
      <c r="E68" s="264"/>
    </row>
    <row r="69" spans="1:5" ht="12.75">
      <c r="A69" s="236">
        <v>53</v>
      </c>
      <c r="B69" s="264" t="s">
        <v>34</v>
      </c>
      <c r="C69" s="264">
        <v>0</v>
      </c>
      <c r="D69" s="264">
        <v>0</v>
      </c>
      <c r="E69" s="264">
        <v>0</v>
      </c>
    </row>
    <row r="70" spans="1:5" ht="12.75">
      <c r="A70" s="236">
        <v>54</v>
      </c>
      <c r="B70" s="264" t="s">
        <v>130</v>
      </c>
      <c r="C70" s="264">
        <v>0</v>
      </c>
      <c r="D70" s="264">
        <v>0</v>
      </c>
      <c r="E70" s="264">
        <v>0</v>
      </c>
    </row>
    <row r="71" spans="1:5" ht="12.75">
      <c r="A71" s="236"/>
      <c r="B71" s="484" t="s">
        <v>123</v>
      </c>
      <c r="C71" s="413">
        <f>SUM(C69:C70)</f>
        <v>0</v>
      </c>
      <c r="D71" s="413">
        <f>SUM(D69:D70)</f>
        <v>0</v>
      </c>
      <c r="E71" s="413">
        <f>SUM(E69:E70)</f>
        <v>0</v>
      </c>
    </row>
    <row r="72" spans="1:5" ht="12.75">
      <c r="A72" s="236"/>
      <c r="B72" s="484" t="s">
        <v>35</v>
      </c>
      <c r="C72" s="413">
        <f>+C47+C67+C71</f>
        <v>340162</v>
      </c>
      <c r="D72" s="413">
        <f>+D47+D67+D71</f>
        <v>109764</v>
      </c>
      <c r="E72" s="413">
        <f>+E47+E67+E71</f>
        <v>17569</v>
      </c>
    </row>
    <row r="75" ht="12.75">
      <c r="C75" s="6">
        <v>24</v>
      </c>
    </row>
    <row r="76" ht="12.75">
      <c r="C76" s="6">
        <v>24</v>
      </c>
    </row>
  </sheetData>
  <sheetProtection/>
  <printOptions gridLines="1" horizontalCentered="1"/>
  <pageMargins left="0.75" right="0.75" top="0.43" bottom="0.75" header="0.37" footer="0.5"/>
  <pageSetup blackAndWhite="1" horizontalDpi="300" verticalDpi="300" orientation="landscape" paperSize="9" scale="81" r:id="rId2"/>
  <headerFooter alignWithMargins="0">
    <oddFooter>&amp;C&amp;"Arial,Bold"* Figure not available</oddFooter>
  </headerFooter>
  <rowBreaks count="1" manualBreakCount="1">
    <brk id="47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76"/>
  <sheetViews>
    <sheetView zoomScale="120" zoomScaleNormal="120" zoomScalePageLayoutView="0" workbookViewId="0" topLeftCell="H46">
      <selection activeCell="O1" sqref="O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10.8515625" style="6" customWidth="1"/>
    <col min="4" max="4" width="19.00390625" style="7" customWidth="1"/>
    <col min="5" max="5" width="11.7109375" style="7" customWidth="1"/>
    <col min="6" max="6" width="12.28125" style="7" customWidth="1"/>
    <col min="7" max="7" width="11.28125" style="7" customWidth="1"/>
    <col min="8" max="8" width="16.140625" style="7" customWidth="1"/>
    <col min="9" max="9" width="10.57421875" style="7" customWidth="1"/>
    <col min="10" max="10" width="9.140625" style="7" customWidth="1"/>
    <col min="11" max="11" width="10.421875" style="6" customWidth="1"/>
    <col min="12" max="12" width="10.8515625" style="7" customWidth="1"/>
    <col min="13" max="13" width="9.28125" style="0" customWidth="1"/>
    <col min="14" max="14" width="11.421875" style="0" customWidth="1"/>
    <col min="15" max="15" width="9.57421875" style="0" bestFit="1" customWidth="1"/>
  </cols>
  <sheetData>
    <row r="1" spans="1:12" ht="18" customHeight="1">
      <c r="A1" s="2"/>
      <c r="B1" s="2"/>
      <c r="C1" s="4"/>
      <c r="D1" s="8"/>
      <c r="E1" s="8"/>
      <c r="F1" s="8"/>
      <c r="G1" s="8"/>
      <c r="H1" s="8"/>
      <c r="I1" s="8"/>
      <c r="J1" s="8"/>
      <c r="K1" s="4"/>
      <c r="L1" s="8"/>
    </row>
    <row r="2" spans="1:14" ht="18" customHeight="1">
      <c r="A2" s="2"/>
      <c r="B2" s="2"/>
      <c r="C2" s="4"/>
      <c r="D2" s="8"/>
      <c r="E2" s="8"/>
      <c r="F2" s="8"/>
      <c r="G2" s="8"/>
      <c r="H2" s="8"/>
      <c r="I2" s="8"/>
      <c r="J2" s="8"/>
      <c r="K2" s="4"/>
      <c r="L2" s="8"/>
      <c r="M2" s="2"/>
      <c r="N2" s="2"/>
    </row>
    <row r="3" spans="1:14" ht="10.5" customHeight="1">
      <c r="A3" s="2"/>
      <c r="B3" s="2"/>
      <c r="C3" s="4"/>
      <c r="D3" s="8"/>
      <c r="E3" s="8"/>
      <c r="F3" s="8"/>
      <c r="G3" s="8"/>
      <c r="H3" s="8"/>
      <c r="I3" s="8"/>
      <c r="J3" s="8"/>
      <c r="K3" s="4"/>
      <c r="L3" s="8"/>
      <c r="M3" s="2"/>
      <c r="N3" s="2"/>
    </row>
    <row r="4" spans="1:14" ht="24.75" customHeight="1">
      <c r="A4" s="43" t="s">
        <v>4</v>
      </c>
      <c r="B4" s="72" t="s">
        <v>5</v>
      </c>
      <c r="C4" s="735" t="s">
        <v>432</v>
      </c>
      <c r="D4" s="735"/>
      <c r="E4" s="73" t="s">
        <v>289</v>
      </c>
      <c r="F4" s="73"/>
      <c r="G4" s="735" t="s">
        <v>433</v>
      </c>
      <c r="H4" s="735"/>
      <c r="I4" s="242" t="s">
        <v>362</v>
      </c>
      <c r="J4" s="241"/>
      <c r="K4" s="736" t="s">
        <v>238</v>
      </c>
      <c r="L4" s="737"/>
      <c r="M4" s="242" t="s">
        <v>362</v>
      </c>
      <c r="N4" s="241"/>
    </row>
    <row r="5" spans="1:14" ht="24.75" customHeight="1">
      <c r="A5" s="47" t="s">
        <v>6</v>
      </c>
      <c r="B5" s="47"/>
      <c r="C5" s="82" t="s">
        <v>57</v>
      </c>
      <c r="D5" s="65" t="s">
        <v>63</v>
      </c>
      <c r="E5" s="73" t="s">
        <v>57</v>
      </c>
      <c r="F5" s="89" t="s">
        <v>63</v>
      </c>
      <c r="G5" s="73" t="s">
        <v>57</v>
      </c>
      <c r="H5" s="89" t="s">
        <v>63</v>
      </c>
      <c r="I5" s="151" t="s">
        <v>57</v>
      </c>
      <c r="J5" s="152" t="s">
        <v>63</v>
      </c>
      <c r="K5" s="73" t="s">
        <v>57</v>
      </c>
      <c r="L5" s="89" t="s">
        <v>63</v>
      </c>
      <c r="M5" s="151" t="s">
        <v>57</v>
      </c>
      <c r="N5" s="152" t="s">
        <v>63</v>
      </c>
    </row>
    <row r="6" spans="1:16" s="117" customFormat="1" ht="12.75">
      <c r="A6" s="115">
        <v>1</v>
      </c>
      <c r="B6" s="116" t="s">
        <v>7</v>
      </c>
      <c r="C6" s="116">
        <v>258</v>
      </c>
      <c r="D6" s="116">
        <v>699</v>
      </c>
      <c r="E6" s="116">
        <v>89</v>
      </c>
      <c r="F6" s="116">
        <v>238</v>
      </c>
      <c r="G6" s="116">
        <v>239</v>
      </c>
      <c r="H6" s="116">
        <v>665</v>
      </c>
      <c r="I6" s="116">
        <v>69</v>
      </c>
      <c r="J6" s="116">
        <v>197</v>
      </c>
      <c r="K6" s="116">
        <v>3189</v>
      </c>
      <c r="L6" s="116">
        <v>4585</v>
      </c>
      <c r="M6" s="126">
        <v>1056</v>
      </c>
      <c r="N6" s="126">
        <v>1761</v>
      </c>
      <c r="O6" s="118"/>
      <c r="P6" s="118"/>
    </row>
    <row r="7" spans="1:16" s="117" customFormat="1" ht="12.75">
      <c r="A7" s="115">
        <v>2</v>
      </c>
      <c r="B7" s="116" t="s">
        <v>8</v>
      </c>
      <c r="C7" s="116">
        <v>16</v>
      </c>
      <c r="D7" s="116">
        <v>9</v>
      </c>
      <c r="E7" s="116">
        <v>6</v>
      </c>
      <c r="F7" s="116">
        <v>1</v>
      </c>
      <c r="G7" s="116">
        <v>16</v>
      </c>
      <c r="H7" s="116">
        <v>9</v>
      </c>
      <c r="I7" s="116">
        <v>0</v>
      </c>
      <c r="J7" s="116">
        <v>0</v>
      </c>
      <c r="K7" s="116">
        <v>234</v>
      </c>
      <c r="L7" s="116">
        <v>557</v>
      </c>
      <c r="M7" s="126">
        <v>98</v>
      </c>
      <c r="N7" s="126">
        <v>251</v>
      </c>
      <c r="O7" s="118"/>
      <c r="P7" s="118"/>
    </row>
    <row r="8" spans="1:16" s="117" customFormat="1" ht="12.75">
      <c r="A8" s="115">
        <v>3</v>
      </c>
      <c r="B8" s="116" t="s">
        <v>9</v>
      </c>
      <c r="C8" s="116">
        <v>155</v>
      </c>
      <c r="D8" s="116">
        <v>584</v>
      </c>
      <c r="E8" s="116">
        <v>66</v>
      </c>
      <c r="F8" s="116">
        <v>231</v>
      </c>
      <c r="G8" s="116">
        <v>155</v>
      </c>
      <c r="H8" s="116">
        <v>338</v>
      </c>
      <c r="I8" s="116">
        <v>66</v>
      </c>
      <c r="J8" s="116">
        <v>199</v>
      </c>
      <c r="K8" s="116">
        <v>2483</v>
      </c>
      <c r="L8" s="116">
        <v>3837</v>
      </c>
      <c r="M8" s="126">
        <v>751</v>
      </c>
      <c r="N8" s="126">
        <v>935</v>
      </c>
      <c r="O8" s="118"/>
      <c r="P8" s="118"/>
    </row>
    <row r="9" spans="1:16" ht="12.75">
      <c r="A9" s="50">
        <v>4</v>
      </c>
      <c r="B9" s="51" t="s">
        <v>10</v>
      </c>
      <c r="C9" s="51">
        <v>628</v>
      </c>
      <c r="D9" s="51">
        <v>2887</v>
      </c>
      <c r="E9" s="51">
        <v>302</v>
      </c>
      <c r="F9" s="51">
        <v>928</v>
      </c>
      <c r="G9" s="51">
        <v>624</v>
      </c>
      <c r="H9" s="51">
        <v>2081</v>
      </c>
      <c r="I9" s="51">
        <v>299</v>
      </c>
      <c r="J9" s="51">
        <v>943</v>
      </c>
      <c r="K9" s="51">
        <v>7173</v>
      </c>
      <c r="L9" s="51">
        <v>10702</v>
      </c>
      <c r="M9" s="49">
        <v>2738</v>
      </c>
      <c r="N9" s="49">
        <v>3943</v>
      </c>
      <c r="O9" s="7"/>
      <c r="P9" s="7"/>
    </row>
    <row r="10" spans="1:16" ht="12.75">
      <c r="A10" s="50">
        <v>5</v>
      </c>
      <c r="B10" s="51" t="s">
        <v>11</v>
      </c>
      <c r="C10" s="51">
        <v>101</v>
      </c>
      <c r="D10" s="51">
        <v>236</v>
      </c>
      <c r="E10" s="51">
        <v>32</v>
      </c>
      <c r="F10" s="51">
        <v>82</v>
      </c>
      <c r="G10" s="51">
        <v>101</v>
      </c>
      <c r="H10" s="51">
        <v>521</v>
      </c>
      <c r="I10" s="51">
        <v>32</v>
      </c>
      <c r="J10" s="51">
        <v>170</v>
      </c>
      <c r="K10" s="51">
        <v>811</v>
      </c>
      <c r="L10" s="51">
        <v>1298</v>
      </c>
      <c r="M10" s="49">
        <v>225</v>
      </c>
      <c r="N10" s="49">
        <v>349</v>
      </c>
      <c r="O10" s="7"/>
      <c r="P10" s="7"/>
    </row>
    <row r="11" spans="1:16" ht="12.75">
      <c r="A11" s="50">
        <v>6</v>
      </c>
      <c r="B11" s="51" t="s">
        <v>12</v>
      </c>
      <c r="C11" s="51">
        <v>416</v>
      </c>
      <c r="D11" s="51">
        <v>300</v>
      </c>
      <c r="E11" s="51">
        <v>201</v>
      </c>
      <c r="F11" s="51">
        <v>138</v>
      </c>
      <c r="G11" s="51">
        <v>416</v>
      </c>
      <c r="H11" s="51">
        <v>384</v>
      </c>
      <c r="I11" s="51">
        <v>201</v>
      </c>
      <c r="J11" s="51">
        <v>135</v>
      </c>
      <c r="K11" s="51">
        <v>1001</v>
      </c>
      <c r="L11" s="51">
        <v>1884</v>
      </c>
      <c r="M11" s="49">
        <v>493</v>
      </c>
      <c r="N11" s="49">
        <v>963</v>
      </c>
      <c r="O11" s="7"/>
      <c r="P11" s="7"/>
    </row>
    <row r="12" spans="1:16" s="103" customFormat="1" ht="12.75">
      <c r="A12" s="54">
        <v>7</v>
      </c>
      <c r="B12" s="57" t="s">
        <v>13</v>
      </c>
      <c r="C12" s="57">
        <v>775</v>
      </c>
      <c r="D12" s="57">
        <v>2065</v>
      </c>
      <c r="E12" s="57">
        <v>217</v>
      </c>
      <c r="F12" s="57">
        <v>576</v>
      </c>
      <c r="G12" s="57">
        <v>762</v>
      </c>
      <c r="H12" s="57">
        <v>1610</v>
      </c>
      <c r="I12" s="57">
        <v>212</v>
      </c>
      <c r="J12" s="57">
        <v>396</v>
      </c>
      <c r="K12" s="57">
        <v>5639</v>
      </c>
      <c r="L12" s="57">
        <v>9373</v>
      </c>
      <c r="M12" s="145">
        <v>1185</v>
      </c>
      <c r="N12" s="145">
        <v>1345</v>
      </c>
      <c r="O12" s="19"/>
      <c r="P12" s="19"/>
    </row>
    <row r="13" spans="1:16" s="103" customFormat="1" ht="12.75">
      <c r="A13" s="54">
        <v>8</v>
      </c>
      <c r="B13" s="57" t="s">
        <v>162</v>
      </c>
      <c r="C13" s="57">
        <v>33</v>
      </c>
      <c r="D13" s="57">
        <v>91</v>
      </c>
      <c r="E13" s="57">
        <v>11</v>
      </c>
      <c r="F13" s="57">
        <v>13</v>
      </c>
      <c r="G13" s="57">
        <v>33</v>
      </c>
      <c r="H13" s="57">
        <v>40</v>
      </c>
      <c r="I13" s="57">
        <v>11</v>
      </c>
      <c r="J13" s="57">
        <v>13</v>
      </c>
      <c r="K13" s="57">
        <v>207</v>
      </c>
      <c r="L13" s="57">
        <v>555</v>
      </c>
      <c r="M13" s="145">
        <v>48</v>
      </c>
      <c r="N13" s="145">
        <v>135</v>
      </c>
      <c r="O13" s="19"/>
      <c r="P13" s="19"/>
    </row>
    <row r="14" spans="1:16" ht="12.75">
      <c r="A14" s="50">
        <v>9</v>
      </c>
      <c r="B14" s="51" t="s">
        <v>14</v>
      </c>
      <c r="C14" s="51">
        <v>78</v>
      </c>
      <c r="D14" s="51">
        <v>204</v>
      </c>
      <c r="E14" s="51">
        <v>32</v>
      </c>
      <c r="F14" s="51">
        <v>122</v>
      </c>
      <c r="G14" s="51">
        <v>78</v>
      </c>
      <c r="H14" s="51">
        <v>161</v>
      </c>
      <c r="I14" s="51">
        <v>32</v>
      </c>
      <c r="J14" s="51">
        <v>94</v>
      </c>
      <c r="K14" s="51">
        <v>499</v>
      </c>
      <c r="L14" s="51">
        <v>909</v>
      </c>
      <c r="M14" s="49">
        <v>130</v>
      </c>
      <c r="N14" s="49">
        <v>204</v>
      </c>
      <c r="O14" s="7"/>
      <c r="P14" s="7"/>
    </row>
    <row r="15" spans="1:16" ht="12.75">
      <c r="A15" s="50">
        <v>10</v>
      </c>
      <c r="B15" s="51" t="s">
        <v>15</v>
      </c>
      <c r="C15" s="51">
        <v>9</v>
      </c>
      <c r="D15" s="51">
        <v>39</v>
      </c>
      <c r="E15" s="51">
        <v>3</v>
      </c>
      <c r="F15" s="51">
        <v>9</v>
      </c>
      <c r="G15" s="51">
        <v>16</v>
      </c>
      <c r="H15" s="51">
        <v>20</v>
      </c>
      <c r="I15" s="51">
        <v>6</v>
      </c>
      <c r="J15" s="51">
        <v>10</v>
      </c>
      <c r="K15" s="51">
        <v>185</v>
      </c>
      <c r="L15" s="51">
        <v>343</v>
      </c>
      <c r="M15" s="49">
        <v>73</v>
      </c>
      <c r="N15" s="49">
        <v>115</v>
      </c>
      <c r="O15" s="7"/>
      <c r="P15" s="7"/>
    </row>
    <row r="16" spans="1:16" ht="12.75">
      <c r="A16" s="50">
        <v>11</v>
      </c>
      <c r="B16" s="51" t="s">
        <v>16</v>
      </c>
      <c r="C16" s="51">
        <v>19</v>
      </c>
      <c r="D16" s="51">
        <v>70</v>
      </c>
      <c r="E16" s="51">
        <v>7</v>
      </c>
      <c r="F16" s="51">
        <v>31</v>
      </c>
      <c r="G16" s="51">
        <v>19</v>
      </c>
      <c r="H16" s="51">
        <v>33</v>
      </c>
      <c r="I16" s="51">
        <v>7</v>
      </c>
      <c r="J16" s="51">
        <v>12</v>
      </c>
      <c r="K16" s="51">
        <v>203</v>
      </c>
      <c r="L16" s="51">
        <v>366</v>
      </c>
      <c r="M16" s="49">
        <v>31</v>
      </c>
      <c r="N16" s="49">
        <v>94</v>
      </c>
      <c r="O16" s="7"/>
      <c r="P16" s="7"/>
    </row>
    <row r="17" spans="1:16" ht="12.75">
      <c r="A17" s="50">
        <v>12</v>
      </c>
      <c r="B17" s="51" t="s">
        <v>17</v>
      </c>
      <c r="C17" s="51">
        <v>200</v>
      </c>
      <c r="D17" s="51">
        <v>651</v>
      </c>
      <c r="E17" s="51">
        <v>59</v>
      </c>
      <c r="F17" s="51">
        <v>67</v>
      </c>
      <c r="G17" s="51">
        <v>200</v>
      </c>
      <c r="H17" s="51">
        <v>656</v>
      </c>
      <c r="I17" s="51">
        <v>59</v>
      </c>
      <c r="J17" s="51">
        <v>67</v>
      </c>
      <c r="K17" s="51">
        <v>2773</v>
      </c>
      <c r="L17" s="51">
        <v>4331</v>
      </c>
      <c r="M17" s="49">
        <v>641</v>
      </c>
      <c r="N17" s="49">
        <v>1039</v>
      </c>
      <c r="O17" s="7"/>
      <c r="P17" s="7"/>
    </row>
    <row r="18" spans="1:16" ht="12.75">
      <c r="A18" s="50">
        <v>13</v>
      </c>
      <c r="B18" s="51" t="s">
        <v>164</v>
      </c>
      <c r="C18" s="51">
        <v>32</v>
      </c>
      <c r="D18" s="51">
        <v>158</v>
      </c>
      <c r="E18" s="51">
        <v>9</v>
      </c>
      <c r="F18" s="51">
        <v>27</v>
      </c>
      <c r="G18" s="51">
        <v>32</v>
      </c>
      <c r="H18" s="51">
        <v>60</v>
      </c>
      <c r="I18" s="51">
        <v>9</v>
      </c>
      <c r="J18" s="51">
        <v>15</v>
      </c>
      <c r="K18" s="51">
        <v>203</v>
      </c>
      <c r="L18" s="51">
        <v>393</v>
      </c>
      <c r="M18" s="49">
        <v>45</v>
      </c>
      <c r="N18" s="49">
        <v>81</v>
      </c>
      <c r="O18" s="7"/>
      <c r="P18" s="7"/>
    </row>
    <row r="19" spans="1:16" ht="12.75">
      <c r="A19" s="50">
        <v>14</v>
      </c>
      <c r="B19" s="51" t="s">
        <v>77</v>
      </c>
      <c r="C19" s="51">
        <v>1500</v>
      </c>
      <c r="D19" s="51">
        <v>2326</v>
      </c>
      <c r="E19" s="51">
        <v>303</v>
      </c>
      <c r="F19" s="51">
        <v>583</v>
      </c>
      <c r="G19" s="51">
        <v>1479</v>
      </c>
      <c r="H19" s="51">
        <v>1584</v>
      </c>
      <c r="I19" s="51">
        <v>300</v>
      </c>
      <c r="J19" s="51">
        <v>682</v>
      </c>
      <c r="K19" s="51">
        <v>4295</v>
      </c>
      <c r="L19" s="51">
        <v>6633</v>
      </c>
      <c r="M19" s="49">
        <v>978</v>
      </c>
      <c r="N19" s="49">
        <v>1521</v>
      </c>
      <c r="O19" s="7"/>
      <c r="P19" s="7"/>
    </row>
    <row r="20" spans="1:16" ht="12.75">
      <c r="A20" s="50">
        <v>15</v>
      </c>
      <c r="B20" s="51" t="s">
        <v>105</v>
      </c>
      <c r="C20" s="51">
        <v>42</v>
      </c>
      <c r="D20" s="51">
        <v>61</v>
      </c>
      <c r="E20" s="51">
        <v>11</v>
      </c>
      <c r="F20" s="51">
        <v>8</v>
      </c>
      <c r="G20" s="51">
        <v>42</v>
      </c>
      <c r="H20" s="51">
        <v>61</v>
      </c>
      <c r="I20" s="51">
        <v>11</v>
      </c>
      <c r="J20" s="51">
        <v>8</v>
      </c>
      <c r="K20" s="51">
        <v>528</v>
      </c>
      <c r="L20" s="51">
        <v>988</v>
      </c>
      <c r="M20" s="49">
        <v>161</v>
      </c>
      <c r="N20" s="49">
        <v>148</v>
      </c>
      <c r="O20" s="7"/>
      <c r="P20" s="7"/>
    </row>
    <row r="21" spans="1:16" s="103" customFormat="1" ht="12.75">
      <c r="A21" s="54">
        <v>16</v>
      </c>
      <c r="B21" s="57" t="s">
        <v>20</v>
      </c>
      <c r="C21" s="57">
        <v>119</v>
      </c>
      <c r="D21" s="57">
        <v>345</v>
      </c>
      <c r="E21" s="57">
        <v>12</v>
      </c>
      <c r="F21" s="57">
        <v>47</v>
      </c>
      <c r="G21" s="57">
        <v>119</v>
      </c>
      <c r="H21" s="57">
        <v>120</v>
      </c>
      <c r="I21" s="57">
        <v>12</v>
      </c>
      <c r="J21" s="57">
        <v>16</v>
      </c>
      <c r="K21" s="57">
        <v>1379</v>
      </c>
      <c r="L21" s="57">
        <v>2352</v>
      </c>
      <c r="M21" s="145">
        <v>313</v>
      </c>
      <c r="N21" s="145">
        <v>898</v>
      </c>
      <c r="O21" s="19"/>
      <c r="P21" s="19"/>
    </row>
    <row r="22" spans="1:16" ht="12.75">
      <c r="A22" s="50">
        <v>17</v>
      </c>
      <c r="B22" s="51" t="s">
        <v>21</v>
      </c>
      <c r="C22" s="51">
        <v>790</v>
      </c>
      <c r="D22" s="51">
        <v>777</v>
      </c>
      <c r="E22" s="51">
        <v>295</v>
      </c>
      <c r="F22" s="51">
        <v>214</v>
      </c>
      <c r="G22" s="51">
        <v>775</v>
      </c>
      <c r="H22" s="51">
        <v>760</v>
      </c>
      <c r="I22" s="51">
        <v>282</v>
      </c>
      <c r="J22" s="51">
        <v>199</v>
      </c>
      <c r="K22" s="51">
        <v>2859</v>
      </c>
      <c r="L22" s="51">
        <v>5244</v>
      </c>
      <c r="M22" s="49">
        <v>774</v>
      </c>
      <c r="N22" s="49">
        <v>1040</v>
      </c>
      <c r="O22" s="7"/>
      <c r="P22" s="7"/>
    </row>
    <row r="23" spans="1:16" ht="12.75">
      <c r="A23" s="50">
        <v>18</v>
      </c>
      <c r="B23" s="51" t="s">
        <v>19</v>
      </c>
      <c r="C23" s="51">
        <v>20</v>
      </c>
      <c r="D23" s="51">
        <v>109</v>
      </c>
      <c r="E23" s="51">
        <v>8</v>
      </c>
      <c r="F23" s="51">
        <v>38</v>
      </c>
      <c r="G23" s="51">
        <v>44</v>
      </c>
      <c r="H23" s="51">
        <v>48</v>
      </c>
      <c r="I23" s="51">
        <v>8</v>
      </c>
      <c r="J23" s="51">
        <v>17</v>
      </c>
      <c r="K23" s="51">
        <v>81</v>
      </c>
      <c r="L23" s="51">
        <v>135</v>
      </c>
      <c r="M23" s="49">
        <v>17</v>
      </c>
      <c r="N23" s="49">
        <v>32</v>
      </c>
      <c r="O23" s="7"/>
      <c r="P23" s="7"/>
    </row>
    <row r="24" spans="1:16" ht="12.75">
      <c r="A24" s="50">
        <v>19</v>
      </c>
      <c r="B24" s="51" t="s">
        <v>124</v>
      </c>
      <c r="C24" s="51">
        <v>45</v>
      </c>
      <c r="D24" s="51">
        <v>68</v>
      </c>
      <c r="E24" s="51">
        <v>5</v>
      </c>
      <c r="F24" s="51">
        <v>18</v>
      </c>
      <c r="G24" s="51">
        <v>45</v>
      </c>
      <c r="H24" s="51">
        <v>68</v>
      </c>
      <c r="I24" s="51">
        <v>5</v>
      </c>
      <c r="J24" s="51">
        <v>18</v>
      </c>
      <c r="K24" s="51">
        <v>146</v>
      </c>
      <c r="L24" s="51">
        <v>287</v>
      </c>
      <c r="M24" s="49">
        <v>31</v>
      </c>
      <c r="N24" s="49">
        <v>106</v>
      </c>
      <c r="O24" s="7"/>
      <c r="P24" s="7"/>
    </row>
    <row r="25" spans="1:16" s="165" customFormat="1" ht="14.25">
      <c r="A25" s="163"/>
      <c r="B25" s="128" t="s">
        <v>224</v>
      </c>
      <c r="C25" s="128">
        <f aca="true" t="shared" si="0" ref="C25:N25">SUM(C6:C24)</f>
        <v>5236</v>
      </c>
      <c r="D25" s="128">
        <f t="shared" si="0"/>
        <v>11679</v>
      </c>
      <c r="E25" s="128">
        <f t="shared" si="0"/>
        <v>1668</v>
      </c>
      <c r="F25" s="128">
        <f t="shared" si="0"/>
        <v>3371</v>
      </c>
      <c r="G25" s="128">
        <f t="shared" si="0"/>
        <v>5195</v>
      </c>
      <c r="H25" s="128">
        <f t="shared" si="0"/>
        <v>9219</v>
      </c>
      <c r="I25" s="128">
        <f t="shared" si="0"/>
        <v>1621</v>
      </c>
      <c r="J25" s="128">
        <f t="shared" si="0"/>
        <v>3191</v>
      </c>
      <c r="K25" s="128">
        <f t="shared" si="0"/>
        <v>33888</v>
      </c>
      <c r="L25" s="128">
        <f t="shared" si="0"/>
        <v>54772</v>
      </c>
      <c r="M25" s="128">
        <f t="shared" si="0"/>
        <v>9788</v>
      </c>
      <c r="N25" s="128">
        <f t="shared" si="0"/>
        <v>14960</v>
      </c>
      <c r="O25" s="166"/>
      <c r="P25" s="166"/>
    </row>
    <row r="26" spans="1:16" ht="12.75">
      <c r="A26" s="54">
        <v>20</v>
      </c>
      <c r="B26" s="51" t="s">
        <v>23</v>
      </c>
      <c r="C26" s="51">
        <v>2</v>
      </c>
      <c r="D26" s="51">
        <v>5</v>
      </c>
      <c r="E26" s="51">
        <v>0</v>
      </c>
      <c r="F26" s="51">
        <v>0</v>
      </c>
      <c r="G26" s="51">
        <v>2</v>
      </c>
      <c r="H26" s="51">
        <v>5</v>
      </c>
      <c r="I26" s="51">
        <v>0</v>
      </c>
      <c r="J26" s="51">
        <v>0</v>
      </c>
      <c r="K26" s="51">
        <v>37</v>
      </c>
      <c r="L26" s="51">
        <v>56</v>
      </c>
      <c r="M26" s="49">
        <v>3</v>
      </c>
      <c r="N26" s="49">
        <v>4</v>
      </c>
      <c r="O26" s="7"/>
      <c r="P26" s="7"/>
    </row>
    <row r="27" spans="1:16" ht="12.75">
      <c r="A27" s="54">
        <v>21</v>
      </c>
      <c r="B27" s="51" t="s">
        <v>269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13</v>
      </c>
      <c r="L27" s="51">
        <v>23</v>
      </c>
      <c r="M27" s="49">
        <v>4</v>
      </c>
      <c r="N27" s="49">
        <v>11</v>
      </c>
      <c r="O27" s="7"/>
      <c r="P27" s="7"/>
    </row>
    <row r="28" spans="1:16" ht="12.75">
      <c r="A28" s="54">
        <v>22</v>
      </c>
      <c r="B28" s="51" t="s">
        <v>169</v>
      </c>
      <c r="C28" s="51">
        <v>9</v>
      </c>
      <c r="D28" s="51">
        <v>22</v>
      </c>
      <c r="E28" s="51">
        <v>3</v>
      </c>
      <c r="F28" s="51">
        <v>9</v>
      </c>
      <c r="G28" s="51">
        <v>9</v>
      </c>
      <c r="H28" s="51">
        <v>22</v>
      </c>
      <c r="I28" s="51">
        <v>3</v>
      </c>
      <c r="J28" s="51">
        <v>9</v>
      </c>
      <c r="K28" s="51">
        <v>99</v>
      </c>
      <c r="L28" s="51">
        <v>134</v>
      </c>
      <c r="M28" s="49">
        <v>39</v>
      </c>
      <c r="N28" s="49">
        <v>65</v>
      </c>
      <c r="O28" s="7"/>
      <c r="P28" s="7"/>
    </row>
    <row r="29" spans="1:16" ht="12.75">
      <c r="A29" s="54">
        <v>23</v>
      </c>
      <c r="B29" s="51" t="s">
        <v>22</v>
      </c>
      <c r="C29" s="51">
        <v>8</v>
      </c>
      <c r="D29" s="51">
        <v>28</v>
      </c>
      <c r="E29" s="51">
        <v>6</v>
      </c>
      <c r="F29" s="51">
        <v>15</v>
      </c>
      <c r="G29" s="51">
        <v>7</v>
      </c>
      <c r="H29" s="51">
        <v>22</v>
      </c>
      <c r="I29" s="51">
        <v>6</v>
      </c>
      <c r="J29" s="51">
        <v>12</v>
      </c>
      <c r="K29" s="51">
        <v>53</v>
      </c>
      <c r="L29" s="51">
        <v>121</v>
      </c>
      <c r="M29" s="49">
        <v>26</v>
      </c>
      <c r="N29" s="49">
        <v>59</v>
      </c>
      <c r="O29" s="7"/>
      <c r="P29" s="7"/>
    </row>
    <row r="30" spans="1:16" s="103" customFormat="1" ht="12.75">
      <c r="A30" s="54">
        <v>24</v>
      </c>
      <c r="B30" s="57" t="s">
        <v>141</v>
      </c>
      <c r="C30" s="57">
        <v>25</v>
      </c>
      <c r="D30" s="57">
        <v>76</v>
      </c>
      <c r="E30" s="57">
        <v>8</v>
      </c>
      <c r="F30" s="57">
        <v>22</v>
      </c>
      <c r="G30" s="57">
        <v>24</v>
      </c>
      <c r="H30" s="57">
        <v>61</v>
      </c>
      <c r="I30" s="57">
        <v>8</v>
      </c>
      <c r="J30" s="57">
        <v>14</v>
      </c>
      <c r="K30" s="57">
        <v>229</v>
      </c>
      <c r="L30" s="57">
        <v>4194</v>
      </c>
      <c r="M30" s="145">
        <v>62</v>
      </c>
      <c r="N30" s="145">
        <v>752</v>
      </c>
      <c r="O30" s="19"/>
      <c r="P30" s="19"/>
    </row>
    <row r="31" spans="1:16" ht="12.75">
      <c r="A31" s="54">
        <v>25</v>
      </c>
      <c r="B31" s="51" t="s">
        <v>18</v>
      </c>
      <c r="C31" s="51">
        <v>3504</v>
      </c>
      <c r="D31" s="51">
        <v>11776</v>
      </c>
      <c r="E31" s="51">
        <v>849</v>
      </c>
      <c r="F31" s="51">
        <v>2868</v>
      </c>
      <c r="G31" s="51">
        <v>3504</v>
      </c>
      <c r="H31" s="51">
        <v>7949</v>
      </c>
      <c r="I31" s="51">
        <v>849</v>
      </c>
      <c r="J31" s="51">
        <v>1114</v>
      </c>
      <c r="K31" s="51">
        <v>21073</v>
      </c>
      <c r="L31" s="51">
        <v>37946</v>
      </c>
      <c r="M31" s="49">
        <v>4217</v>
      </c>
      <c r="N31" s="49">
        <v>7483</v>
      </c>
      <c r="O31" s="7"/>
      <c r="P31" s="7"/>
    </row>
    <row r="32" spans="1:16" ht="12.75">
      <c r="A32" s="54">
        <v>26</v>
      </c>
      <c r="B32" s="51" t="s">
        <v>104</v>
      </c>
      <c r="C32" s="51">
        <v>1460</v>
      </c>
      <c r="D32" s="51">
        <v>2016</v>
      </c>
      <c r="E32" s="51">
        <v>195</v>
      </c>
      <c r="F32" s="51">
        <v>267</v>
      </c>
      <c r="G32" s="51">
        <v>1442</v>
      </c>
      <c r="H32" s="51">
        <v>1794</v>
      </c>
      <c r="I32" s="51">
        <v>108</v>
      </c>
      <c r="J32" s="51">
        <v>245</v>
      </c>
      <c r="K32" s="51">
        <v>10275</v>
      </c>
      <c r="L32" s="51">
        <v>17567</v>
      </c>
      <c r="M32" s="49">
        <v>2577</v>
      </c>
      <c r="N32" s="49">
        <v>3248</v>
      </c>
      <c r="O32" s="7"/>
      <c r="P32" s="7"/>
    </row>
    <row r="33" spans="1:16" s="165" customFormat="1" ht="14.25">
      <c r="A33" s="163"/>
      <c r="B33" s="128" t="s">
        <v>226</v>
      </c>
      <c r="C33" s="128">
        <f aca="true" t="shared" si="1" ref="C33:N33">SUM(C26:C32)</f>
        <v>5008</v>
      </c>
      <c r="D33" s="128">
        <f t="shared" si="1"/>
        <v>13923</v>
      </c>
      <c r="E33" s="128">
        <f t="shared" si="1"/>
        <v>1061</v>
      </c>
      <c r="F33" s="128">
        <f t="shared" si="1"/>
        <v>3181</v>
      </c>
      <c r="G33" s="128">
        <f t="shared" si="1"/>
        <v>4988</v>
      </c>
      <c r="H33" s="128">
        <f t="shared" si="1"/>
        <v>9853</v>
      </c>
      <c r="I33" s="128">
        <f t="shared" si="1"/>
        <v>974</v>
      </c>
      <c r="J33" s="128">
        <f t="shared" si="1"/>
        <v>1394</v>
      </c>
      <c r="K33" s="128">
        <f t="shared" si="1"/>
        <v>31779</v>
      </c>
      <c r="L33" s="128">
        <f t="shared" si="1"/>
        <v>60041</v>
      </c>
      <c r="M33" s="128">
        <f t="shared" si="1"/>
        <v>6928</v>
      </c>
      <c r="N33" s="128">
        <f t="shared" si="1"/>
        <v>11622</v>
      </c>
      <c r="O33" s="166"/>
      <c r="P33" s="166"/>
    </row>
    <row r="34" spans="1:16" ht="12.75">
      <c r="A34" s="54">
        <v>27</v>
      </c>
      <c r="B34" s="51" t="s">
        <v>163</v>
      </c>
      <c r="C34" s="51">
        <v>10</v>
      </c>
      <c r="D34" s="51">
        <v>32</v>
      </c>
      <c r="E34" s="51">
        <v>5</v>
      </c>
      <c r="F34" s="51">
        <v>13</v>
      </c>
      <c r="G34" s="51">
        <v>10</v>
      </c>
      <c r="H34" s="51">
        <v>32</v>
      </c>
      <c r="I34" s="51">
        <v>5</v>
      </c>
      <c r="J34" s="51">
        <v>13</v>
      </c>
      <c r="K34" s="51">
        <v>28</v>
      </c>
      <c r="L34" s="51">
        <v>59</v>
      </c>
      <c r="M34" s="49">
        <v>5</v>
      </c>
      <c r="N34" s="49">
        <v>13</v>
      </c>
      <c r="O34" s="7"/>
      <c r="P34" s="7"/>
    </row>
    <row r="35" spans="1:16" s="103" customFormat="1" ht="12.75">
      <c r="A35" s="54">
        <v>28</v>
      </c>
      <c r="B35" s="57" t="s">
        <v>231</v>
      </c>
      <c r="C35" s="57">
        <v>36</v>
      </c>
      <c r="D35" s="57">
        <v>89</v>
      </c>
      <c r="E35" s="57">
        <v>0</v>
      </c>
      <c r="F35" s="57">
        <v>0</v>
      </c>
      <c r="G35" s="57">
        <v>36</v>
      </c>
      <c r="H35" s="57">
        <v>89</v>
      </c>
      <c r="I35" s="57">
        <v>0</v>
      </c>
      <c r="J35" s="57">
        <v>0</v>
      </c>
      <c r="K35" s="57">
        <v>87</v>
      </c>
      <c r="L35" s="57">
        <v>192</v>
      </c>
      <c r="M35" s="145">
        <v>0</v>
      </c>
      <c r="N35" s="145">
        <v>0</v>
      </c>
      <c r="O35" s="19"/>
      <c r="P35" s="19"/>
    </row>
    <row r="36" spans="1:16" ht="12.75">
      <c r="A36" s="54">
        <v>29</v>
      </c>
      <c r="B36" s="51" t="s">
        <v>218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18</v>
      </c>
      <c r="L36" s="51">
        <v>17</v>
      </c>
      <c r="M36" s="49">
        <v>0</v>
      </c>
      <c r="N36" s="49">
        <v>0</v>
      </c>
      <c r="O36" s="7"/>
      <c r="P36" s="7"/>
    </row>
    <row r="37" spans="1:16" ht="12.75">
      <c r="A37" s="54">
        <v>30</v>
      </c>
      <c r="B37" s="51" t="s">
        <v>236</v>
      </c>
      <c r="C37" s="51">
        <v>7</v>
      </c>
      <c r="D37" s="51">
        <v>15</v>
      </c>
      <c r="E37" s="51">
        <v>2</v>
      </c>
      <c r="F37" s="51">
        <v>4</v>
      </c>
      <c r="G37" s="51">
        <v>4</v>
      </c>
      <c r="H37" s="51">
        <v>8</v>
      </c>
      <c r="I37" s="51">
        <v>2</v>
      </c>
      <c r="J37" s="51">
        <v>6</v>
      </c>
      <c r="K37" s="51">
        <v>51</v>
      </c>
      <c r="L37" s="51">
        <v>75</v>
      </c>
      <c r="M37" s="49">
        <v>20</v>
      </c>
      <c r="N37" s="49">
        <v>26</v>
      </c>
      <c r="O37" s="7"/>
      <c r="P37" s="7"/>
    </row>
    <row r="38" spans="1:16" s="103" customFormat="1" ht="12.75">
      <c r="A38" s="54">
        <v>31</v>
      </c>
      <c r="B38" s="57" t="s">
        <v>219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145">
        <v>0</v>
      </c>
      <c r="N38" s="145">
        <v>0</v>
      </c>
      <c r="O38" s="19"/>
      <c r="P38" s="19"/>
    </row>
    <row r="39" spans="1:16" ht="12.75">
      <c r="A39" s="54">
        <v>32</v>
      </c>
      <c r="B39" s="51" t="s">
        <v>220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49">
        <v>0</v>
      </c>
      <c r="N39" s="49">
        <v>0</v>
      </c>
      <c r="O39" s="7"/>
      <c r="P39" s="7"/>
    </row>
    <row r="40" spans="1:16" ht="12.75">
      <c r="A40" s="110">
        <v>33</v>
      </c>
      <c r="B40" s="113" t="s">
        <v>363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3</v>
      </c>
      <c r="L40" s="51">
        <v>8</v>
      </c>
      <c r="M40" s="49">
        <v>0</v>
      </c>
      <c r="N40" s="49">
        <v>0</v>
      </c>
      <c r="O40" s="7"/>
      <c r="P40" s="7"/>
    </row>
    <row r="41" spans="1:16" s="103" customFormat="1" ht="12.75">
      <c r="A41" s="54">
        <v>34</v>
      </c>
      <c r="B41" s="57" t="s">
        <v>242</v>
      </c>
      <c r="C41" s="57">
        <v>3</v>
      </c>
      <c r="D41" s="57">
        <v>2</v>
      </c>
      <c r="E41" s="57">
        <v>1</v>
      </c>
      <c r="F41" s="57">
        <v>1</v>
      </c>
      <c r="G41" s="57">
        <v>3</v>
      </c>
      <c r="H41" s="57">
        <v>3</v>
      </c>
      <c r="I41" s="57">
        <v>1</v>
      </c>
      <c r="J41" s="57">
        <v>1</v>
      </c>
      <c r="K41" s="57">
        <v>3</v>
      </c>
      <c r="L41" s="57">
        <v>3</v>
      </c>
      <c r="M41" s="145">
        <v>1</v>
      </c>
      <c r="N41" s="145">
        <v>1</v>
      </c>
      <c r="O41" s="19"/>
      <c r="P41" s="19"/>
    </row>
    <row r="42" spans="1:16" ht="12.75">
      <c r="A42" s="54">
        <v>35</v>
      </c>
      <c r="B42" s="51" t="s">
        <v>256</v>
      </c>
      <c r="C42" s="51">
        <v>1</v>
      </c>
      <c r="D42" s="51">
        <v>4</v>
      </c>
      <c r="E42" s="51">
        <v>0</v>
      </c>
      <c r="F42" s="51">
        <v>0</v>
      </c>
      <c r="G42" s="51">
        <v>1</v>
      </c>
      <c r="H42" s="51">
        <v>4</v>
      </c>
      <c r="I42" s="51">
        <v>0</v>
      </c>
      <c r="J42" s="51">
        <v>0</v>
      </c>
      <c r="K42" s="51">
        <v>10</v>
      </c>
      <c r="L42" s="51">
        <v>22</v>
      </c>
      <c r="M42" s="49">
        <v>2</v>
      </c>
      <c r="N42" s="49">
        <v>2</v>
      </c>
      <c r="O42" s="7"/>
      <c r="P42" s="7"/>
    </row>
    <row r="43" spans="1:16" ht="12.75">
      <c r="A43" s="54">
        <v>36</v>
      </c>
      <c r="B43" s="51" t="s">
        <v>24</v>
      </c>
      <c r="C43" s="51">
        <v>8</v>
      </c>
      <c r="D43" s="51">
        <v>16</v>
      </c>
      <c r="E43" s="51">
        <v>7</v>
      </c>
      <c r="F43" s="51">
        <v>16</v>
      </c>
      <c r="G43" s="51">
        <v>8</v>
      </c>
      <c r="H43" s="51">
        <v>12</v>
      </c>
      <c r="I43" s="51">
        <v>7</v>
      </c>
      <c r="J43" s="51">
        <v>11</v>
      </c>
      <c r="K43" s="51">
        <v>23</v>
      </c>
      <c r="L43" s="51">
        <v>39</v>
      </c>
      <c r="M43" s="49">
        <v>13</v>
      </c>
      <c r="N43" s="49">
        <v>25</v>
      </c>
      <c r="O43" s="7"/>
      <c r="P43" s="7"/>
    </row>
    <row r="44" spans="1:16" ht="12.75">
      <c r="A44" s="54">
        <v>37</v>
      </c>
      <c r="B44" s="51" t="s">
        <v>223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3</v>
      </c>
      <c r="L44" s="51">
        <v>10</v>
      </c>
      <c r="M44" s="49">
        <v>2</v>
      </c>
      <c r="N44" s="49">
        <v>6</v>
      </c>
      <c r="O44" s="7"/>
      <c r="P44" s="7"/>
    </row>
    <row r="45" spans="1:16" ht="12.75">
      <c r="A45" s="54">
        <v>38</v>
      </c>
      <c r="B45" s="51" t="s">
        <v>364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49">
        <v>0</v>
      </c>
      <c r="N45" s="49">
        <v>0</v>
      </c>
      <c r="O45" s="7"/>
      <c r="P45" s="7"/>
    </row>
    <row r="46" spans="1:16" ht="12.75">
      <c r="A46" s="54">
        <v>39</v>
      </c>
      <c r="B46" s="51" t="s">
        <v>366</v>
      </c>
      <c r="C46" s="51">
        <v>2</v>
      </c>
      <c r="D46" s="51">
        <v>4</v>
      </c>
      <c r="E46" s="51">
        <v>0</v>
      </c>
      <c r="F46" s="51">
        <v>0</v>
      </c>
      <c r="G46" s="51">
        <v>2</v>
      </c>
      <c r="H46" s="51">
        <v>4</v>
      </c>
      <c r="I46" s="51">
        <v>0</v>
      </c>
      <c r="J46" s="51">
        <v>0</v>
      </c>
      <c r="K46" s="51">
        <v>2</v>
      </c>
      <c r="L46" s="51">
        <v>4</v>
      </c>
      <c r="M46" s="49">
        <v>0</v>
      </c>
      <c r="N46" s="49">
        <v>0</v>
      </c>
      <c r="O46" s="7"/>
      <c r="P46" s="7"/>
    </row>
    <row r="47" spans="1:16" ht="12.75">
      <c r="A47" s="50"/>
      <c r="B47" s="53" t="s">
        <v>225</v>
      </c>
      <c r="C47" s="53">
        <f>SUM(C34:C46)</f>
        <v>67</v>
      </c>
      <c r="D47" s="53">
        <f aca="true" t="shared" si="2" ref="D47:N47">SUM(D34:D46)</f>
        <v>162</v>
      </c>
      <c r="E47" s="53">
        <f t="shared" si="2"/>
        <v>15</v>
      </c>
      <c r="F47" s="53">
        <f t="shared" si="2"/>
        <v>34</v>
      </c>
      <c r="G47" s="53">
        <f t="shared" si="2"/>
        <v>64</v>
      </c>
      <c r="H47" s="53">
        <f t="shared" si="2"/>
        <v>152</v>
      </c>
      <c r="I47" s="53">
        <f t="shared" si="2"/>
        <v>15</v>
      </c>
      <c r="J47" s="53">
        <f t="shared" si="2"/>
        <v>31</v>
      </c>
      <c r="K47" s="53">
        <f t="shared" si="2"/>
        <v>228</v>
      </c>
      <c r="L47" s="53">
        <f t="shared" si="2"/>
        <v>429</v>
      </c>
      <c r="M47" s="53">
        <f t="shared" si="2"/>
        <v>43</v>
      </c>
      <c r="N47" s="53">
        <f t="shared" si="2"/>
        <v>73</v>
      </c>
      <c r="O47" s="7"/>
      <c r="P47" s="7"/>
    </row>
    <row r="48" spans="1:14" ht="12.75">
      <c r="A48" s="50"/>
      <c r="B48" s="52" t="s">
        <v>123</v>
      </c>
      <c r="C48" s="53">
        <f aca="true" t="shared" si="3" ref="C48:N48">C25+C33+C47</f>
        <v>10311</v>
      </c>
      <c r="D48" s="53">
        <f t="shared" si="3"/>
        <v>25764</v>
      </c>
      <c r="E48" s="53">
        <f t="shared" si="3"/>
        <v>2744</v>
      </c>
      <c r="F48" s="53">
        <f t="shared" si="3"/>
        <v>6586</v>
      </c>
      <c r="G48" s="53">
        <f t="shared" si="3"/>
        <v>10247</v>
      </c>
      <c r="H48" s="53">
        <f t="shared" si="3"/>
        <v>19224</v>
      </c>
      <c r="I48" s="53">
        <f t="shared" si="3"/>
        <v>2610</v>
      </c>
      <c r="J48" s="53">
        <f t="shared" si="3"/>
        <v>4616</v>
      </c>
      <c r="K48" s="53">
        <f t="shared" si="3"/>
        <v>65895</v>
      </c>
      <c r="L48" s="53">
        <f t="shared" si="3"/>
        <v>115242</v>
      </c>
      <c r="M48" s="53">
        <f t="shared" si="3"/>
        <v>16759</v>
      </c>
      <c r="N48" s="53">
        <f t="shared" si="3"/>
        <v>26655</v>
      </c>
    </row>
    <row r="49" spans="1:14" ht="18" customHeight="1">
      <c r="A49" s="17">
        <v>0</v>
      </c>
      <c r="D49" s="7">
        <f>'TABLE-1'!F44</f>
        <v>1</v>
      </c>
      <c r="K49" s="3"/>
      <c r="L49" s="3"/>
      <c r="M49" s="4"/>
      <c r="N49" s="2"/>
    </row>
    <row r="50" spans="1:14" ht="18" customHeight="1">
      <c r="A50" s="17">
        <v>0</v>
      </c>
      <c r="D50" s="7">
        <f>'TABLE-1'!F46</f>
        <v>36</v>
      </c>
      <c r="K50" s="3"/>
      <c r="L50" s="9"/>
      <c r="M50" s="2"/>
      <c r="N50" s="2"/>
    </row>
    <row r="51" spans="1:14" ht="9.75" customHeight="1">
      <c r="A51" s="17">
        <v>0</v>
      </c>
      <c r="D51" s="7" t="e">
        <f>'TABLE-1'!#REF!</f>
        <v>#REF!</v>
      </c>
      <c r="K51" s="3"/>
      <c r="L51" s="9"/>
      <c r="M51" s="2"/>
      <c r="N51" s="2"/>
    </row>
    <row r="52" spans="1:14" ht="19.5" customHeight="1">
      <c r="A52" s="43" t="s">
        <v>4</v>
      </c>
      <c r="B52" s="79" t="s">
        <v>5</v>
      </c>
      <c r="C52" s="735" t="s">
        <v>432</v>
      </c>
      <c r="D52" s="735"/>
      <c r="E52" s="5" t="s">
        <v>288</v>
      </c>
      <c r="F52" s="5" t="s">
        <v>287</v>
      </c>
      <c r="G52" s="735" t="s">
        <v>433</v>
      </c>
      <c r="H52" s="735"/>
      <c r="I52" s="242" t="s">
        <v>362</v>
      </c>
      <c r="J52" s="241"/>
      <c r="K52" s="738" t="s">
        <v>238</v>
      </c>
      <c r="L52" s="738"/>
      <c r="M52" s="242" t="s">
        <v>362</v>
      </c>
      <c r="N52" s="241"/>
    </row>
    <row r="53" spans="1:14" ht="19.5" customHeight="1">
      <c r="A53" s="47" t="s">
        <v>6</v>
      </c>
      <c r="B53" s="47"/>
      <c r="C53" s="82" t="s">
        <v>57</v>
      </c>
      <c r="D53" s="65" t="s">
        <v>63</v>
      </c>
      <c r="E53" s="82" t="s">
        <v>57</v>
      </c>
      <c r="F53" s="65" t="s">
        <v>63</v>
      </c>
      <c r="G53" s="82" t="s">
        <v>57</v>
      </c>
      <c r="H53" s="65" t="s">
        <v>63</v>
      </c>
      <c r="I53" s="82" t="s">
        <v>57</v>
      </c>
      <c r="J53" s="65" t="s">
        <v>63</v>
      </c>
      <c r="K53" s="82" t="s">
        <v>57</v>
      </c>
      <c r="L53" s="65" t="s">
        <v>63</v>
      </c>
      <c r="M53" s="82" t="s">
        <v>57</v>
      </c>
      <c r="N53" s="65" t="s">
        <v>63</v>
      </c>
    </row>
    <row r="54" spans="1:16" ht="15.75" customHeight="1">
      <c r="A54" s="54">
        <v>40</v>
      </c>
      <c r="B54" s="57" t="s">
        <v>78</v>
      </c>
      <c r="C54" s="51">
        <v>10</v>
      </c>
      <c r="D54" s="51">
        <v>35</v>
      </c>
      <c r="E54" s="51">
        <v>5</v>
      </c>
      <c r="F54" s="51">
        <v>21</v>
      </c>
      <c r="G54" s="51">
        <v>8</v>
      </c>
      <c r="H54" s="51">
        <v>19</v>
      </c>
      <c r="I54" s="51">
        <v>0</v>
      </c>
      <c r="J54" s="51">
        <v>0</v>
      </c>
      <c r="K54" s="51">
        <v>41</v>
      </c>
      <c r="L54" s="51">
        <v>72</v>
      </c>
      <c r="M54" s="49">
        <v>0</v>
      </c>
      <c r="N54" s="49">
        <v>0</v>
      </c>
      <c r="O54" s="7"/>
      <c r="P54" s="7"/>
    </row>
    <row r="55" spans="1:16" ht="15.75" customHeight="1">
      <c r="A55" s="54">
        <v>41</v>
      </c>
      <c r="B55" s="57" t="s">
        <v>278</v>
      </c>
      <c r="C55" s="51">
        <v>21</v>
      </c>
      <c r="D55" s="51">
        <v>54</v>
      </c>
      <c r="E55" s="51">
        <v>7</v>
      </c>
      <c r="F55" s="51">
        <v>14</v>
      </c>
      <c r="G55" s="51">
        <v>29</v>
      </c>
      <c r="H55" s="51">
        <v>35</v>
      </c>
      <c r="I55" s="51">
        <v>9</v>
      </c>
      <c r="J55" s="51">
        <v>8</v>
      </c>
      <c r="K55" s="51">
        <v>156</v>
      </c>
      <c r="L55" s="51">
        <v>227</v>
      </c>
      <c r="M55" s="49">
        <v>53</v>
      </c>
      <c r="N55" s="49">
        <v>76</v>
      </c>
      <c r="O55" s="7"/>
      <c r="P55" s="7"/>
    </row>
    <row r="56" spans="1:16" ht="15.75" customHeight="1">
      <c r="A56" s="54">
        <v>42</v>
      </c>
      <c r="B56" s="57" t="s">
        <v>30</v>
      </c>
      <c r="C56" s="51">
        <v>3</v>
      </c>
      <c r="D56" s="51">
        <v>2</v>
      </c>
      <c r="E56" s="51">
        <v>2</v>
      </c>
      <c r="F56" s="51">
        <v>1</v>
      </c>
      <c r="G56" s="51">
        <v>3</v>
      </c>
      <c r="H56" s="51">
        <v>2</v>
      </c>
      <c r="I56" s="51">
        <v>2</v>
      </c>
      <c r="J56" s="51">
        <v>1</v>
      </c>
      <c r="K56" s="51">
        <v>4</v>
      </c>
      <c r="L56" s="51">
        <v>2</v>
      </c>
      <c r="M56" s="49">
        <v>2</v>
      </c>
      <c r="N56" s="49">
        <v>1</v>
      </c>
      <c r="O56" s="7"/>
      <c r="P56" s="7"/>
    </row>
    <row r="57" spans="1:16" ht="15.75" customHeight="1">
      <c r="A57" s="54">
        <v>43</v>
      </c>
      <c r="B57" s="57" t="s">
        <v>234</v>
      </c>
      <c r="C57" s="51">
        <v>7</v>
      </c>
      <c r="D57" s="51">
        <v>13</v>
      </c>
      <c r="E57" s="51">
        <v>3</v>
      </c>
      <c r="F57" s="51">
        <v>4</v>
      </c>
      <c r="G57" s="51">
        <v>3</v>
      </c>
      <c r="H57" s="51">
        <v>12</v>
      </c>
      <c r="I57" s="51">
        <v>3</v>
      </c>
      <c r="J57" s="51">
        <v>3</v>
      </c>
      <c r="K57" s="51">
        <v>54</v>
      </c>
      <c r="L57" s="51">
        <v>75</v>
      </c>
      <c r="M57" s="49">
        <v>5</v>
      </c>
      <c r="N57" s="49">
        <v>6</v>
      </c>
      <c r="O57" s="7"/>
      <c r="P57" s="7"/>
    </row>
    <row r="58" spans="1:16" ht="15.75" customHeight="1">
      <c r="A58" s="54">
        <v>44</v>
      </c>
      <c r="B58" s="57" t="s">
        <v>29</v>
      </c>
      <c r="C58" s="51">
        <v>47</v>
      </c>
      <c r="D58" s="51">
        <v>103</v>
      </c>
      <c r="E58" s="51">
        <v>0</v>
      </c>
      <c r="F58" s="51">
        <v>0</v>
      </c>
      <c r="G58" s="51">
        <v>47</v>
      </c>
      <c r="H58" s="51">
        <v>103</v>
      </c>
      <c r="I58" s="51">
        <v>0</v>
      </c>
      <c r="J58" s="51">
        <v>0</v>
      </c>
      <c r="K58" s="51">
        <v>253</v>
      </c>
      <c r="L58" s="51">
        <v>385</v>
      </c>
      <c r="M58" s="49">
        <v>7</v>
      </c>
      <c r="N58" s="49">
        <v>10</v>
      </c>
      <c r="O58" s="7"/>
      <c r="P58" s="7"/>
    </row>
    <row r="59" spans="1:16" ht="15.75" customHeight="1">
      <c r="A59" s="54">
        <v>45</v>
      </c>
      <c r="B59" s="57" t="s">
        <v>391</v>
      </c>
      <c r="C59" s="51">
        <v>119</v>
      </c>
      <c r="D59" s="51">
        <v>169</v>
      </c>
      <c r="E59" s="51">
        <v>28</v>
      </c>
      <c r="F59" s="51">
        <v>41</v>
      </c>
      <c r="G59" s="51">
        <v>125</v>
      </c>
      <c r="H59" s="51">
        <v>135</v>
      </c>
      <c r="I59" s="51">
        <v>28</v>
      </c>
      <c r="J59" s="51">
        <v>59</v>
      </c>
      <c r="K59" s="51">
        <v>354</v>
      </c>
      <c r="L59" s="51">
        <v>515</v>
      </c>
      <c r="M59" s="49">
        <v>91</v>
      </c>
      <c r="N59" s="49">
        <v>154</v>
      </c>
      <c r="O59" s="7"/>
      <c r="P59" s="7"/>
    </row>
    <row r="60" spans="1:16" ht="15.75" customHeight="1">
      <c r="A60" s="54">
        <v>46</v>
      </c>
      <c r="B60" s="57" t="s">
        <v>25</v>
      </c>
      <c r="C60" s="51">
        <v>2</v>
      </c>
      <c r="D60" s="51">
        <v>4</v>
      </c>
      <c r="E60" s="51">
        <v>1</v>
      </c>
      <c r="F60" s="51">
        <v>2</v>
      </c>
      <c r="G60" s="51">
        <v>2</v>
      </c>
      <c r="H60" s="51">
        <v>4</v>
      </c>
      <c r="I60" s="51">
        <v>1</v>
      </c>
      <c r="J60" s="51">
        <v>2</v>
      </c>
      <c r="K60" s="51">
        <v>18</v>
      </c>
      <c r="L60" s="51">
        <v>40</v>
      </c>
      <c r="M60" s="49">
        <v>8</v>
      </c>
      <c r="N60" s="49">
        <v>10</v>
      </c>
      <c r="O60" s="7"/>
      <c r="P60" s="7"/>
    </row>
    <row r="61" spans="1:16" ht="15.75" customHeight="1">
      <c r="A61" s="54">
        <v>47</v>
      </c>
      <c r="B61" s="57" t="s">
        <v>28</v>
      </c>
      <c r="C61" s="51">
        <v>7</v>
      </c>
      <c r="D61" s="51">
        <v>18</v>
      </c>
      <c r="E61" s="51">
        <v>0</v>
      </c>
      <c r="F61" s="51">
        <v>0</v>
      </c>
      <c r="G61" s="51">
        <v>7</v>
      </c>
      <c r="H61" s="51">
        <v>18</v>
      </c>
      <c r="I61" s="51">
        <v>0</v>
      </c>
      <c r="J61" s="51">
        <v>0</v>
      </c>
      <c r="K61" s="51">
        <v>29</v>
      </c>
      <c r="L61" s="51">
        <v>26</v>
      </c>
      <c r="M61" s="49">
        <v>7</v>
      </c>
      <c r="N61" s="49">
        <v>6</v>
      </c>
      <c r="O61" s="7"/>
      <c r="P61" s="7"/>
    </row>
    <row r="62" spans="1:16" s="165" customFormat="1" ht="15.75" customHeight="1">
      <c r="A62" s="54"/>
      <c r="B62" s="87" t="s">
        <v>123</v>
      </c>
      <c r="C62" s="128">
        <f aca="true" t="shared" si="4" ref="C62:N62">SUM(C54:C61)</f>
        <v>216</v>
      </c>
      <c r="D62" s="128">
        <f t="shared" si="4"/>
        <v>398</v>
      </c>
      <c r="E62" s="128">
        <f t="shared" si="4"/>
        <v>46</v>
      </c>
      <c r="F62" s="128">
        <f t="shared" si="4"/>
        <v>83</v>
      </c>
      <c r="G62" s="128">
        <f t="shared" si="4"/>
        <v>224</v>
      </c>
      <c r="H62" s="128">
        <f t="shared" si="4"/>
        <v>328</v>
      </c>
      <c r="I62" s="128">
        <f t="shared" si="4"/>
        <v>43</v>
      </c>
      <c r="J62" s="128">
        <f t="shared" si="4"/>
        <v>73</v>
      </c>
      <c r="K62" s="128">
        <f t="shared" si="4"/>
        <v>909</v>
      </c>
      <c r="L62" s="128">
        <f t="shared" si="4"/>
        <v>1342</v>
      </c>
      <c r="M62" s="128">
        <f t="shared" si="4"/>
        <v>173</v>
      </c>
      <c r="N62" s="128">
        <f t="shared" si="4"/>
        <v>263</v>
      </c>
      <c r="O62" s="166"/>
      <c r="P62" s="166"/>
    </row>
    <row r="63" spans="1:16" ht="15.75" customHeight="1">
      <c r="A63" s="54"/>
      <c r="C63" s="51"/>
      <c r="D63" s="51"/>
      <c r="E63" s="51"/>
      <c r="F63" s="51"/>
      <c r="G63" s="51"/>
      <c r="H63" s="51"/>
      <c r="I63" s="51"/>
      <c r="J63" s="51"/>
      <c r="K63" s="86"/>
      <c r="L63" s="86"/>
      <c r="M63" s="49"/>
      <c r="N63" s="49"/>
      <c r="O63" s="7"/>
      <c r="P63" s="7"/>
    </row>
    <row r="64" spans="1:16" ht="15.75" customHeight="1">
      <c r="A64" s="54">
        <v>48</v>
      </c>
      <c r="B64" s="51" t="s">
        <v>34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49">
        <v>0</v>
      </c>
      <c r="N64" s="49">
        <v>0</v>
      </c>
      <c r="O64" s="7"/>
      <c r="P64" s="7"/>
    </row>
    <row r="65" spans="1:16" ht="15.75" customHeight="1">
      <c r="A65" s="54">
        <v>49</v>
      </c>
      <c r="B65" s="51" t="s">
        <v>130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49">
        <v>0</v>
      </c>
      <c r="N65" s="49">
        <v>0</v>
      </c>
      <c r="O65" s="7"/>
      <c r="P65" s="7"/>
    </row>
    <row r="66" spans="1:14" s="165" customFormat="1" ht="15.75" customHeight="1">
      <c r="A66" s="163"/>
      <c r="B66" s="87" t="s">
        <v>123</v>
      </c>
      <c r="C66" s="128">
        <f aca="true" t="shared" si="5" ref="C66:N66">SUM(C64:C65)</f>
        <v>0</v>
      </c>
      <c r="D66" s="128">
        <f t="shared" si="5"/>
        <v>0</v>
      </c>
      <c r="E66" s="128">
        <f t="shared" si="5"/>
        <v>0</v>
      </c>
      <c r="F66" s="128">
        <f t="shared" si="5"/>
        <v>0</v>
      </c>
      <c r="G66" s="128">
        <f t="shared" si="5"/>
        <v>0</v>
      </c>
      <c r="H66" s="128">
        <f t="shared" si="5"/>
        <v>0</v>
      </c>
      <c r="I66" s="128">
        <f t="shared" si="5"/>
        <v>0</v>
      </c>
      <c r="J66" s="128">
        <f t="shared" si="5"/>
        <v>0</v>
      </c>
      <c r="K66" s="128">
        <f t="shared" si="5"/>
        <v>0</v>
      </c>
      <c r="L66" s="128">
        <f t="shared" si="5"/>
        <v>0</v>
      </c>
      <c r="M66" s="128">
        <f t="shared" si="5"/>
        <v>0</v>
      </c>
      <c r="N66" s="128">
        <f t="shared" si="5"/>
        <v>0</v>
      </c>
    </row>
    <row r="67" spans="1:14" s="165" customFormat="1" ht="15.75" customHeight="1">
      <c r="A67" s="163"/>
      <c r="B67" s="8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76"/>
      <c r="N67" s="176"/>
    </row>
    <row r="68" spans="1:14" s="165" customFormat="1" ht="15.75" customHeight="1">
      <c r="A68" s="163"/>
      <c r="B68" s="87" t="s">
        <v>35</v>
      </c>
      <c r="C68" s="128">
        <f aca="true" t="shared" si="6" ref="C68:N68">C48+C62+C66</f>
        <v>10527</v>
      </c>
      <c r="D68" s="128">
        <f t="shared" si="6"/>
        <v>26162</v>
      </c>
      <c r="E68" s="128">
        <f t="shared" si="6"/>
        <v>2790</v>
      </c>
      <c r="F68" s="128">
        <f t="shared" si="6"/>
        <v>6669</v>
      </c>
      <c r="G68" s="128">
        <f t="shared" si="6"/>
        <v>10471</v>
      </c>
      <c r="H68" s="128">
        <f t="shared" si="6"/>
        <v>19552</v>
      </c>
      <c r="I68" s="128">
        <f t="shared" si="6"/>
        <v>2653</v>
      </c>
      <c r="J68" s="128">
        <f t="shared" si="6"/>
        <v>4689</v>
      </c>
      <c r="K68" s="128">
        <f t="shared" si="6"/>
        <v>66804</v>
      </c>
      <c r="L68" s="128">
        <f t="shared" si="6"/>
        <v>116584</v>
      </c>
      <c r="M68" s="128">
        <f t="shared" si="6"/>
        <v>16932</v>
      </c>
      <c r="N68" s="128">
        <f t="shared" si="6"/>
        <v>26918</v>
      </c>
    </row>
    <row r="69" ht="12.75">
      <c r="E69" s="6"/>
    </row>
    <row r="76" spans="3:4" ht="12.75">
      <c r="C76" s="6">
        <v>17</v>
      </c>
      <c r="D76" s="7" t="s">
        <v>384</v>
      </c>
    </row>
  </sheetData>
  <sheetProtection/>
  <mergeCells count="6">
    <mergeCell ref="C4:D4"/>
    <mergeCell ref="K4:L4"/>
    <mergeCell ref="C52:D52"/>
    <mergeCell ref="K52:L52"/>
    <mergeCell ref="G4:H4"/>
    <mergeCell ref="G52:H52"/>
  </mergeCells>
  <printOptions gridLines="1" horizontalCentered="1"/>
  <pageMargins left="0.62" right="0.58" top="0.55" bottom="0.33" header="0.38" footer="0.5"/>
  <pageSetup blackAndWhite="1" horizontalDpi="600" verticalDpi="600" orientation="landscape" paperSize="9" scale="80" r:id="rId2"/>
  <rowBreaks count="1" manualBreakCount="1">
    <brk id="48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74"/>
  <sheetViews>
    <sheetView zoomScale="120" zoomScaleNormal="120" zoomScalePageLayoutView="0" workbookViewId="0" topLeftCell="L1">
      <selection activeCell="D13" sqref="D13"/>
    </sheetView>
  </sheetViews>
  <sheetFormatPr defaultColWidth="9.140625" defaultRowHeight="12.75"/>
  <cols>
    <col min="1" max="1" width="3.7109375" style="103" customWidth="1"/>
    <col min="2" max="2" width="24.421875" style="103" customWidth="1"/>
    <col min="3" max="3" width="9.28125" style="22" bestFit="1" customWidth="1"/>
    <col min="4" max="4" width="9.28125" style="22" customWidth="1"/>
    <col min="5" max="5" width="9.421875" style="22" customWidth="1"/>
    <col min="6" max="6" width="11.00390625" style="22" customWidth="1"/>
    <col min="7" max="7" width="9.421875" style="22" customWidth="1"/>
    <col min="8" max="8" width="9.7109375" style="22" customWidth="1"/>
    <col min="9" max="10" width="9.28125" style="22" bestFit="1" customWidth="1"/>
    <col min="11" max="11" width="8.7109375" style="99" customWidth="1"/>
    <col min="12" max="12" width="10.7109375" style="99" customWidth="1"/>
    <col min="13" max="13" width="9.28125" style="22" bestFit="1" customWidth="1"/>
    <col min="14" max="14" width="12.7109375" style="22" bestFit="1" customWidth="1"/>
    <col min="15" max="15" width="9.28125" style="22" bestFit="1" customWidth="1"/>
    <col min="16" max="16" width="12.7109375" style="22" bestFit="1" customWidth="1"/>
    <col min="17" max="18" width="9.140625" style="22" customWidth="1"/>
    <col min="19" max="16384" width="9.140625" style="103" customWidth="1"/>
  </cols>
  <sheetData>
    <row r="1" ht="15" customHeight="1"/>
    <row r="2" spans="1:2" ht="15" customHeight="1">
      <c r="A2" s="105"/>
      <c r="B2" s="105"/>
    </row>
    <row r="3" spans="11:12" ht="15" customHeight="1">
      <c r="K3" s="192"/>
      <c r="L3" s="192"/>
    </row>
    <row r="4" spans="1:18" ht="12.75">
      <c r="A4" s="460"/>
      <c r="B4" s="460"/>
      <c r="C4" s="649" t="s">
        <v>434</v>
      </c>
      <c r="D4" s="649"/>
      <c r="E4" s="649"/>
      <c r="F4" s="649"/>
      <c r="G4" s="649"/>
      <c r="H4" s="649"/>
      <c r="I4" s="649"/>
      <c r="J4" s="649"/>
      <c r="K4" s="649"/>
      <c r="L4" s="649"/>
      <c r="M4" s="739" t="s">
        <v>3</v>
      </c>
      <c r="N4" s="740"/>
      <c r="O4" s="220"/>
      <c r="P4" s="221"/>
      <c r="Q4" s="220"/>
      <c r="R4" s="221"/>
    </row>
    <row r="5" spans="1:18" ht="12.75">
      <c r="A5" s="462"/>
      <c r="B5" s="462"/>
      <c r="C5" s="659" t="s">
        <v>249</v>
      </c>
      <c r="D5" s="660"/>
      <c r="E5" s="659" t="s">
        <v>248</v>
      </c>
      <c r="F5" s="660"/>
      <c r="G5" s="659" t="s">
        <v>86</v>
      </c>
      <c r="H5" s="660"/>
      <c r="I5" s="659" t="s">
        <v>253</v>
      </c>
      <c r="J5" s="660"/>
      <c r="K5" s="665" t="s">
        <v>252</v>
      </c>
      <c r="L5" s="743"/>
      <c r="M5" s="741" t="s">
        <v>85</v>
      </c>
      <c r="N5" s="742"/>
      <c r="O5" s="741" t="s">
        <v>139</v>
      </c>
      <c r="P5" s="742"/>
      <c r="Q5" s="741" t="s">
        <v>143</v>
      </c>
      <c r="R5" s="742"/>
    </row>
    <row r="6" spans="1:18" ht="12.75">
      <c r="A6" s="462" t="s">
        <v>4</v>
      </c>
      <c r="B6" s="462" t="s">
        <v>5</v>
      </c>
      <c r="C6" s="136" t="s">
        <v>57</v>
      </c>
      <c r="D6" s="136" t="s">
        <v>89</v>
      </c>
      <c r="E6" s="136" t="s">
        <v>57</v>
      </c>
      <c r="F6" s="136" t="s">
        <v>89</v>
      </c>
      <c r="G6" s="136" t="s">
        <v>57</v>
      </c>
      <c r="H6" s="136" t="s">
        <v>89</v>
      </c>
      <c r="I6" s="136" t="s">
        <v>57</v>
      </c>
      <c r="J6" s="215" t="s">
        <v>89</v>
      </c>
      <c r="K6" s="257" t="s">
        <v>57</v>
      </c>
      <c r="L6" s="257" t="s">
        <v>89</v>
      </c>
      <c r="M6" s="630" t="s">
        <v>251</v>
      </c>
      <c r="N6" s="629"/>
      <c r="O6" s="630" t="s">
        <v>250</v>
      </c>
      <c r="P6" s="629"/>
      <c r="Q6" s="630" t="s">
        <v>144</v>
      </c>
      <c r="R6" s="629"/>
    </row>
    <row r="7" spans="1:18" ht="12.75">
      <c r="A7" s="186"/>
      <c r="B7" s="186"/>
      <c r="C7" s="59"/>
      <c r="D7" s="59"/>
      <c r="E7" s="59"/>
      <c r="F7" s="59"/>
      <c r="G7" s="59"/>
      <c r="H7" s="59"/>
      <c r="I7" s="59"/>
      <c r="J7" s="234"/>
      <c r="K7" s="258"/>
      <c r="L7" s="258"/>
      <c r="M7" s="130" t="s">
        <v>57</v>
      </c>
      <c r="N7" s="130" t="s">
        <v>89</v>
      </c>
      <c r="O7" s="130" t="s">
        <v>57</v>
      </c>
      <c r="P7" s="130" t="s">
        <v>89</v>
      </c>
      <c r="Q7" s="130" t="s">
        <v>57</v>
      </c>
      <c r="R7" s="130" t="s">
        <v>63</v>
      </c>
    </row>
    <row r="8" spans="1:18" ht="12.75">
      <c r="A8" s="54">
        <v>1</v>
      </c>
      <c r="B8" s="57" t="s">
        <v>7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190">
        <f>C8-E8-I8</f>
        <v>0</v>
      </c>
      <c r="L8" s="190">
        <f>D8-F8-J8</f>
        <v>0</v>
      </c>
      <c r="M8" s="57">
        <v>78</v>
      </c>
      <c r="N8" s="57">
        <v>314</v>
      </c>
      <c r="O8" s="57">
        <v>3</v>
      </c>
      <c r="P8" s="57">
        <v>4</v>
      </c>
      <c r="Q8" s="57">
        <v>1</v>
      </c>
      <c r="R8" s="57">
        <v>1</v>
      </c>
    </row>
    <row r="9" spans="1:18" ht="12.75">
      <c r="A9" s="54">
        <v>2</v>
      </c>
      <c r="B9" s="57" t="s">
        <v>8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190">
        <f aca="true" t="shared" si="0" ref="K9:K26">C9-E9-I9</f>
        <v>0</v>
      </c>
      <c r="L9" s="190">
        <f aca="true" t="shared" si="1" ref="L9:L26">D9-F9-J9</f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</row>
    <row r="10" spans="1:18" ht="12.75">
      <c r="A10" s="54">
        <v>3</v>
      </c>
      <c r="B10" s="57" t="s">
        <v>9</v>
      </c>
      <c r="C10" s="57">
        <v>6</v>
      </c>
      <c r="D10" s="57">
        <v>29</v>
      </c>
      <c r="E10" s="57">
        <v>6</v>
      </c>
      <c r="F10" s="57">
        <v>29</v>
      </c>
      <c r="G10" s="57">
        <v>6</v>
      </c>
      <c r="H10" s="57">
        <v>29</v>
      </c>
      <c r="I10" s="57">
        <v>0</v>
      </c>
      <c r="J10" s="57">
        <v>0</v>
      </c>
      <c r="K10" s="190">
        <f t="shared" si="0"/>
        <v>0</v>
      </c>
      <c r="L10" s="190">
        <f t="shared" si="1"/>
        <v>0</v>
      </c>
      <c r="M10" s="57">
        <v>65</v>
      </c>
      <c r="N10" s="57">
        <v>254</v>
      </c>
      <c r="O10" s="57">
        <v>32</v>
      </c>
      <c r="P10" s="57">
        <v>79</v>
      </c>
      <c r="Q10" s="57">
        <v>8</v>
      </c>
      <c r="R10" s="57">
        <v>19</v>
      </c>
    </row>
    <row r="11" spans="1:18" ht="12.75">
      <c r="A11" s="54">
        <v>4</v>
      </c>
      <c r="B11" s="57" t="s">
        <v>10</v>
      </c>
      <c r="C11" s="57">
        <v>18</v>
      </c>
      <c r="D11" s="57">
        <v>59</v>
      </c>
      <c r="E11" s="57">
        <v>16</v>
      </c>
      <c r="F11" s="57">
        <v>48</v>
      </c>
      <c r="G11" s="57">
        <v>16</v>
      </c>
      <c r="H11" s="57">
        <v>48</v>
      </c>
      <c r="I11" s="57">
        <v>0</v>
      </c>
      <c r="J11" s="57">
        <v>0</v>
      </c>
      <c r="K11" s="190">
        <f t="shared" si="0"/>
        <v>2</v>
      </c>
      <c r="L11" s="190">
        <f t="shared" si="1"/>
        <v>11</v>
      </c>
      <c r="M11" s="57">
        <v>558</v>
      </c>
      <c r="N11" s="57">
        <v>711</v>
      </c>
      <c r="O11" s="57">
        <v>79</v>
      </c>
      <c r="P11" s="57">
        <v>117</v>
      </c>
      <c r="Q11" s="57">
        <v>53</v>
      </c>
      <c r="R11" s="57">
        <v>93</v>
      </c>
    </row>
    <row r="12" spans="1:18" ht="12.75">
      <c r="A12" s="54">
        <v>5</v>
      </c>
      <c r="B12" s="57" t="s">
        <v>11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190">
        <f t="shared" si="0"/>
        <v>0</v>
      </c>
      <c r="L12" s="190">
        <f t="shared" si="1"/>
        <v>0</v>
      </c>
      <c r="M12" s="57">
        <v>5</v>
      </c>
      <c r="N12" s="57">
        <v>133</v>
      </c>
      <c r="O12" s="57">
        <v>0</v>
      </c>
      <c r="P12" s="57">
        <v>0</v>
      </c>
      <c r="Q12" s="57">
        <v>0</v>
      </c>
      <c r="R12" s="57">
        <v>0</v>
      </c>
    </row>
    <row r="13" spans="1:18" ht="12.75">
      <c r="A13" s="54">
        <v>6</v>
      </c>
      <c r="B13" s="57" t="s">
        <v>12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190">
        <f t="shared" si="0"/>
        <v>0</v>
      </c>
      <c r="L13" s="190">
        <f t="shared" si="1"/>
        <v>0</v>
      </c>
      <c r="M13" s="57">
        <v>41</v>
      </c>
      <c r="N13" s="57">
        <v>18</v>
      </c>
      <c r="O13" s="57">
        <v>0</v>
      </c>
      <c r="P13" s="57">
        <v>0</v>
      </c>
      <c r="Q13" s="57">
        <v>0</v>
      </c>
      <c r="R13" s="57">
        <v>0</v>
      </c>
    </row>
    <row r="14" spans="1:18" ht="12.75">
      <c r="A14" s="54">
        <v>7</v>
      </c>
      <c r="B14" s="57" t="s">
        <v>13</v>
      </c>
      <c r="C14" s="57">
        <v>8</v>
      </c>
      <c r="D14" s="57">
        <v>10</v>
      </c>
      <c r="E14" s="57">
        <v>8</v>
      </c>
      <c r="F14" s="57">
        <v>10</v>
      </c>
      <c r="G14" s="57">
        <v>8</v>
      </c>
      <c r="H14" s="57">
        <v>10</v>
      </c>
      <c r="I14" s="57">
        <v>0</v>
      </c>
      <c r="J14" s="57">
        <v>0</v>
      </c>
      <c r="K14" s="190">
        <f t="shared" si="0"/>
        <v>0</v>
      </c>
      <c r="L14" s="190">
        <f t="shared" si="1"/>
        <v>0</v>
      </c>
      <c r="M14" s="57">
        <v>703</v>
      </c>
      <c r="N14" s="57">
        <v>927</v>
      </c>
      <c r="O14" s="57">
        <v>332</v>
      </c>
      <c r="P14" s="57">
        <v>327</v>
      </c>
      <c r="Q14" s="57">
        <v>94</v>
      </c>
      <c r="R14" s="57">
        <v>146</v>
      </c>
    </row>
    <row r="15" spans="1:18" ht="12.75">
      <c r="A15" s="54">
        <v>8</v>
      </c>
      <c r="B15" s="57" t="s">
        <v>162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190">
        <f t="shared" si="0"/>
        <v>0</v>
      </c>
      <c r="L15" s="190">
        <f t="shared" si="1"/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spans="1:18" ht="12.75">
      <c r="A16" s="54">
        <v>9</v>
      </c>
      <c r="B16" s="57" t="s">
        <v>14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190">
        <f t="shared" si="0"/>
        <v>0</v>
      </c>
      <c r="L16" s="190">
        <f t="shared" si="1"/>
        <v>0</v>
      </c>
      <c r="M16" s="57">
        <v>26</v>
      </c>
      <c r="N16" s="57">
        <v>135</v>
      </c>
      <c r="O16" s="57">
        <v>0</v>
      </c>
      <c r="P16" s="57">
        <v>0</v>
      </c>
      <c r="Q16" s="57">
        <v>7</v>
      </c>
      <c r="R16" s="57">
        <v>57</v>
      </c>
    </row>
    <row r="17" spans="1:18" ht="12.75">
      <c r="A17" s="54">
        <v>10</v>
      </c>
      <c r="B17" s="57" t="s">
        <v>15</v>
      </c>
      <c r="C17" s="57">
        <v>3</v>
      </c>
      <c r="D17" s="57">
        <v>9</v>
      </c>
      <c r="E17" s="57">
        <v>3</v>
      </c>
      <c r="F17" s="57">
        <v>9</v>
      </c>
      <c r="G17" s="57">
        <v>3</v>
      </c>
      <c r="H17" s="57">
        <v>9</v>
      </c>
      <c r="I17" s="57">
        <v>0</v>
      </c>
      <c r="J17" s="57">
        <v>0</v>
      </c>
      <c r="K17" s="190">
        <f t="shared" si="0"/>
        <v>0</v>
      </c>
      <c r="L17" s="190">
        <f t="shared" si="1"/>
        <v>0</v>
      </c>
      <c r="M17" s="57">
        <v>3</v>
      </c>
      <c r="N17" s="57">
        <v>8</v>
      </c>
      <c r="O17" s="57">
        <v>0</v>
      </c>
      <c r="P17" s="57">
        <v>0</v>
      </c>
      <c r="Q17" s="57">
        <v>0</v>
      </c>
      <c r="R17" s="57">
        <v>0</v>
      </c>
    </row>
    <row r="18" spans="1:18" ht="12.75">
      <c r="A18" s="54">
        <v>11</v>
      </c>
      <c r="B18" s="57" t="s">
        <v>16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190">
        <f t="shared" si="0"/>
        <v>0</v>
      </c>
      <c r="L18" s="190">
        <f t="shared" si="1"/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spans="1:18" ht="12.75">
      <c r="A19" s="54">
        <v>12</v>
      </c>
      <c r="B19" s="57" t="s">
        <v>17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190">
        <f t="shared" si="0"/>
        <v>0</v>
      </c>
      <c r="L19" s="190">
        <f t="shared" si="1"/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spans="1:18" ht="12.75">
      <c r="A20" s="54">
        <v>13</v>
      </c>
      <c r="B20" s="57" t="s">
        <v>164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190">
        <f t="shared" si="0"/>
        <v>0</v>
      </c>
      <c r="L20" s="190">
        <f t="shared" si="1"/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1" spans="1:18" ht="12.75">
      <c r="A21" s="54">
        <v>14</v>
      </c>
      <c r="B21" s="57" t="s">
        <v>77</v>
      </c>
      <c r="C21" s="57">
        <v>5</v>
      </c>
      <c r="D21" s="57">
        <v>82</v>
      </c>
      <c r="E21" s="57">
        <v>5</v>
      </c>
      <c r="F21" s="57">
        <v>82</v>
      </c>
      <c r="G21" s="57">
        <v>5</v>
      </c>
      <c r="H21" s="57">
        <v>82</v>
      </c>
      <c r="I21" s="57">
        <v>0</v>
      </c>
      <c r="J21" s="57">
        <v>0</v>
      </c>
      <c r="K21" s="190">
        <f t="shared" si="0"/>
        <v>0</v>
      </c>
      <c r="L21" s="190">
        <f t="shared" si="1"/>
        <v>0</v>
      </c>
      <c r="M21" s="57">
        <v>5</v>
      </c>
      <c r="N21" s="57">
        <v>82</v>
      </c>
      <c r="O21" s="57">
        <v>0</v>
      </c>
      <c r="P21" s="57">
        <v>0</v>
      </c>
      <c r="Q21" s="57">
        <v>2</v>
      </c>
      <c r="R21" s="57">
        <v>31</v>
      </c>
    </row>
    <row r="22" spans="1:19" ht="12.75">
      <c r="A22" s="54">
        <v>15</v>
      </c>
      <c r="B22" s="57" t="s">
        <v>105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190">
        <f t="shared" si="0"/>
        <v>0</v>
      </c>
      <c r="L22" s="190">
        <f t="shared" si="1"/>
        <v>0</v>
      </c>
      <c r="M22" s="57">
        <v>25</v>
      </c>
      <c r="N22" s="57">
        <v>106</v>
      </c>
      <c r="O22" s="57">
        <v>0</v>
      </c>
      <c r="P22" s="57">
        <v>0</v>
      </c>
      <c r="Q22" s="57">
        <v>3</v>
      </c>
      <c r="R22" s="57">
        <v>35</v>
      </c>
      <c r="S22" s="100"/>
    </row>
    <row r="23" spans="1:18" ht="12.75">
      <c r="A23" s="54">
        <v>16</v>
      </c>
      <c r="B23" s="57" t="s">
        <v>20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190">
        <f t="shared" si="0"/>
        <v>0</v>
      </c>
      <c r="L23" s="190">
        <f t="shared" si="1"/>
        <v>0</v>
      </c>
      <c r="M23" s="57">
        <v>49</v>
      </c>
      <c r="N23" s="57">
        <v>92</v>
      </c>
      <c r="O23" s="57">
        <v>6</v>
      </c>
      <c r="P23" s="57">
        <v>17</v>
      </c>
      <c r="Q23" s="57">
        <v>9</v>
      </c>
      <c r="R23" s="57">
        <v>23</v>
      </c>
    </row>
    <row r="24" spans="1:18" ht="12.75">
      <c r="A24" s="54">
        <v>17</v>
      </c>
      <c r="B24" s="57" t="s">
        <v>21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190">
        <f t="shared" si="0"/>
        <v>0</v>
      </c>
      <c r="L24" s="190">
        <f t="shared" si="1"/>
        <v>0</v>
      </c>
      <c r="M24" s="57">
        <v>11</v>
      </c>
      <c r="N24" s="57">
        <v>90</v>
      </c>
      <c r="O24" s="57">
        <v>0</v>
      </c>
      <c r="P24" s="57">
        <v>0</v>
      </c>
      <c r="Q24" s="57">
        <v>0</v>
      </c>
      <c r="R24" s="57">
        <v>0</v>
      </c>
    </row>
    <row r="25" spans="1:18" ht="12.75">
      <c r="A25" s="54">
        <v>18</v>
      </c>
      <c r="B25" s="57" t="s">
        <v>19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190">
        <f t="shared" si="0"/>
        <v>0</v>
      </c>
      <c r="L25" s="190">
        <f t="shared" si="1"/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</row>
    <row r="26" spans="1:18" ht="12.75">
      <c r="A26" s="54">
        <v>19</v>
      </c>
      <c r="B26" s="57" t="s">
        <v>124</v>
      </c>
      <c r="C26" s="57">
        <v>1</v>
      </c>
      <c r="D26" s="57">
        <v>5</v>
      </c>
      <c r="E26" s="57">
        <v>1</v>
      </c>
      <c r="F26" s="57">
        <v>5</v>
      </c>
      <c r="G26" s="57">
        <v>1</v>
      </c>
      <c r="H26" s="57">
        <v>5</v>
      </c>
      <c r="I26" s="57">
        <v>0</v>
      </c>
      <c r="J26" s="57">
        <v>0</v>
      </c>
      <c r="K26" s="190">
        <f t="shared" si="0"/>
        <v>0</v>
      </c>
      <c r="L26" s="190">
        <f t="shared" si="1"/>
        <v>0</v>
      </c>
      <c r="M26" s="57">
        <v>4</v>
      </c>
      <c r="N26" s="57">
        <v>35</v>
      </c>
      <c r="O26" s="57">
        <v>0</v>
      </c>
      <c r="P26" s="57">
        <v>0</v>
      </c>
      <c r="Q26" s="57">
        <v>0</v>
      </c>
      <c r="R26" s="57">
        <v>0</v>
      </c>
    </row>
    <row r="27" spans="1:18" s="232" customFormat="1" ht="14.25">
      <c r="A27" s="203"/>
      <c r="B27" s="164" t="s">
        <v>224</v>
      </c>
      <c r="C27" s="164">
        <f>SUM(C8:C26)</f>
        <v>41</v>
      </c>
      <c r="D27" s="164">
        <f>SUM(D8:D26)</f>
        <v>194</v>
      </c>
      <c r="E27" s="164">
        <f aca="true" t="shared" si="2" ref="E27:P27">SUM(E8:E26)</f>
        <v>39</v>
      </c>
      <c r="F27" s="164">
        <f t="shared" si="2"/>
        <v>183</v>
      </c>
      <c r="G27" s="164">
        <f t="shared" si="2"/>
        <v>39</v>
      </c>
      <c r="H27" s="164">
        <f t="shared" si="2"/>
        <v>183</v>
      </c>
      <c r="I27" s="164">
        <f t="shared" si="2"/>
        <v>0</v>
      </c>
      <c r="J27" s="164">
        <f t="shared" si="2"/>
        <v>0</v>
      </c>
      <c r="K27" s="197">
        <f t="shared" si="2"/>
        <v>2</v>
      </c>
      <c r="L27" s="197">
        <f t="shared" si="2"/>
        <v>11</v>
      </c>
      <c r="M27" s="164">
        <f t="shared" si="2"/>
        <v>1573</v>
      </c>
      <c r="N27" s="164">
        <f t="shared" si="2"/>
        <v>2905</v>
      </c>
      <c r="O27" s="164">
        <f t="shared" si="2"/>
        <v>452</v>
      </c>
      <c r="P27" s="164">
        <f t="shared" si="2"/>
        <v>544</v>
      </c>
      <c r="Q27" s="164">
        <f>SUM(Q8:Q26)</f>
        <v>177</v>
      </c>
      <c r="R27" s="164">
        <f>SUM(R8:R26)</f>
        <v>405</v>
      </c>
    </row>
    <row r="28" spans="1:18" ht="12.75">
      <c r="A28" s="54">
        <v>20</v>
      </c>
      <c r="B28" s="57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190">
        <f aca="true" t="shared" si="3" ref="K28:K33">C28-E28-I28</f>
        <v>0</v>
      </c>
      <c r="L28" s="190">
        <f aca="true" t="shared" si="4" ref="L28:L33">D28-F28-J28</f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</row>
    <row r="29" spans="1:18" ht="12.75">
      <c r="A29" s="54">
        <v>21</v>
      </c>
      <c r="B29" s="57" t="s">
        <v>269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190">
        <f t="shared" si="3"/>
        <v>0</v>
      </c>
      <c r="L29" s="190">
        <f t="shared" si="4"/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</row>
    <row r="30" spans="1:19" ht="12.75">
      <c r="A30" s="54">
        <v>22</v>
      </c>
      <c r="B30" s="57" t="s">
        <v>169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190">
        <f t="shared" si="3"/>
        <v>0</v>
      </c>
      <c r="L30" s="190">
        <f t="shared" si="4"/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100"/>
    </row>
    <row r="31" spans="1:18" ht="12.75">
      <c r="A31" s="54">
        <v>23</v>
      </c>
      <c r="B31" s="57" t="s">
        <v>22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190">
        <f t="shared" si="3"/>
        <v>0</v>
      </c>
      <c r="L31" s="190">
        <f t="shared" si="4"/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</row>
    <row r="32" spans="1:18" ht="12.75">
      <c r="A32" s="54">
        <v>24</v>
      </c>
      <c r="B32" s="57" t="s">
        <v>141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190">
        <f t="shared" si="3"/>
        <v>0</v>
      </c>
      <c r="L32" s="190">
        <f t="shared" si="4"/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</row>
    <row r="33" spans="1:18" ht="12.75">
      <c r="A33" s="54">
        <v>25</v>
      </c>
      <c r="B33" s="57" t="s">
        <v>18</v>
      </c>
      <c r="C33" s="57">
        <v>640</v>
      </c>
      <c r="D33" s="57">
        <v>565</v>
      </c>
      <c r="E33" s="57">
        <v>626</v>
      </c>
      <c r="F33" s="57">
        <v>548</v>
      </c>
      <c r="G33" s="57">
        <v>626</v>
      </c>
      <c r="H33" s="57">
        <v>281</v>
      </c>
      <c r="I33" s="57">
        <v>5</v>
      </c>
      <c r="J33" s="57">
        <v>0</v>
      </c>
      <c r="K33" s="190">
        <f t="shared" si="3"/>
        <v>9</v>
      </c>
      <c r="L33" s="190">
        <f t="shared" si="4"/>
        <v>17</v>
      </c>
      <c r="M33" s="57">
        <v>1225</v>
      </c>
      <c r="N33" s="57">
        <v>3521</v>
      </c>
      <c r="O33" s="57">
        <v>84</v>
      </c>
      <c r="P33" s="57">
        <v>178</v>
      </c>
      <c r="Q33" s="57">
        <v>150</v>
      </c>
      <c r="R33" s="57">
        <v>523</v>
      </c>
    </row>
    <row r="34" spans="1:18" ht="12.75">
      <c r="A34" s="54">
        <v>26</v>
      </c>
      <c r="B34" s="57" t="s">
        <v>104</v>
      </c>
      <c r="C34" s="57">
        <v>63</v>
      </c>
      <c r="D34" s="57">
        <v>70</v>
      </c>
      <c r="E34" s="57">
        <v>50</v>
      </c>
      <c r="F34" s="57">
        <v>52</v>
      </c>
      <c r="G34" s="57">
        <v>50</v>
      </c>
      <c r="H34" s="57">
        <v>50</v>
      </c>
      <c r="I34" s="57">
        <v>0</v>
      </c>
      <c r="J34" s="57">
        <v>0</v>
      </c>
      <c r="K34" s="190">
        <v>9</v>
      </c>
      <c r="L34" s="190">
        <v>14</v>
      </c>
      <c r="M34" s="57">
        <v>1318</v>
      </c>
      <c r="N34" s="57">
        <v>1633</v>
      </c>
      <c r="O34" s="57">
        <v>145</v>
      </c>
      <c r="P34" s="57">
        <v>437</v>
      </c>
      <c r="Q34" s="57">
        <v>67</v>
      </c>
      <c r="R34" s="57">
        <v>112</v>
      </c>
    </row>
    <row r="35" spans="1:18" s="232" customFormat="1" ht="14.25">
      <c r="A35" s="203"/>
      <c r="B35" s="164" t="s">
        <v>226</v>
      </c>
      <c r="C35" s="164">
        <f>SUM(C28:C34)</f>
        <v>703</v>
      </c>
      <c r="D35" s="164">
        <f>SUM(D28:D34)</f>
        <v>635</v>
      </c>
      <c r="E35" s="164">
        <f aca="true" t="shared" si="5" ref="E35:P35">SUM(E28:E34)</f>
        <v>676</v>
      </c>
      <c r="F35" s="164">
        <f t="shared" si="5"/>
        <v>600</v>
      </c>
      <c r="G35" s="164">
        <f t="shared" si="5"/>
        <v>676</v>
      </c>
      <c r="H35" s="164">
        <f t="shared" si="5"/>
        <v>331</v>
      </c>
      <c r="I35" s="164">
        <f t="shared" si="5"/>
        <v>5</v>
      </c>
      <c r="J35" s="164">
        <f t="shared" si="5"/>
        <v>0</v>
      </c>
      <c r="K35" s="197">
        <f t="shared" si="5"/>
        <v>18</v>
      </c>
      <c r="L35" s="197">
        <f t="shared" si="5"/>
        <v>31</v>
      </c>
      <c r="M35" s="164">
        <f t="shared" si="5"/>
        <v>2543</v>
      </c>
      <c r="N35" s="164">
        <f t="shared" si="5"/>
        <v>5154</v>
      </c>
      <c r="O35" s="164">
        <f t="shared" si="5"/>
        <v>229</v>
      </c>
      <c r="P35" s="164">
        <f t="shared" si="5"/>
        <v>615</v>
      </c>
      <c r="Q35" s="164">
        <f>SUM(Q28:Q34)</f>
        <v>217</v>
      </c>
      <c r="R35" s="164">
        <f>SUM(R28:R34)</f>
        <v>635</v>
      </c>
    </row>
    <row r="36" spans="1:18" ht="12.75">
      <c r="A36" s="54">
        <v>27</v>
      </c>
      <c r="B36" s="57" t="s">
        <v>163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190">
        <f aca="true" t="shared" si="6" ref="K36:K48">C36-E36-I36</f>
        <v>0</v>
      </c>
      <c r="L36" s="190">
        <f aca="true" t="shared" si="7" ref="L36:L46">D36-F36-J36</f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</row>
    <row r="37" spans="1:18" ht="12.75">
      <c r="A37" s="54">
        <v>28</v>
      </c>
      <c r="B37" s="57" t="s">
        <v>231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190">
        <f t="shared" si="6"/>
        <v>0</v>
      </c>
      <c r="L37" s="190">
        <f t="shared" si="7"/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</row>
    <row r="38" spans="1:18" ht="12.75">
      <c r="A38" s="54">
        <v>29</v>
      </c>
      <c r="B38" s="57" t="s">
        <v>218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190">
        <f t="shared" si="6"/>
        <v>0</v>
      </c>
      <c r="L38" s="190">
        <f t="shared" si="7"/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</row>
    <row r="39" spans="1:18" ht="12.75">
      <c r="A39" s="54">
        <v>30</v>
      </c>
      <c r="B39" s="57" t="s">
        <v>236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190">
        <f t="shared" si="6"/>
        <v>0</v>
      </c>
      <c r="L39" s="190">
        <f t="shared" si="7"/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</row>
    <row r="40" spans="1:18" ht="12.75">
      <c r="A40" s="54">
        <v>31</v>
      </c>
      <c r="B40" s="57" t="s">
        <v>219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190">
        <f t="shared" si="6"/>
        <v>0</v>
      </c>
      <c r="L40" s="190">
        <f t="shared" si="7"/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</row>
    <row r="41" spans="1:18" ht="12.75">
      <c r="A41" s="54">
        <v>32</v>
      </c>
      <c r="B41" s="57" t="s">
        <v>220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190">
        <f t="shared" si="6"/>
        <v>0</v>
      </c>
      <c r="L41" s="190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</row>
    <row r="42" spans="1:19" ht="12.75">
      <c r="A42" s="110">
        <v>33</v>
      </c>
      <c r="B42" s="111" t="s">
        <v>363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190">
        <f t="shared" si="6"/>
        <v>0</v>
      </c>
      <c r="L42" s="190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100"/>
    </row>
    <row r="43" spans="1:18" ht="12.75">
      <c r="A43" s="54">
        <v>34</v>
      </c>
      <c r="B43" s="57" t="s">
        <v>242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190">
        <f t="shared" si="6"/>
        <v>0</v>
      </c>
      <c r="L43" s="190">
        <f t="shared" si="7"/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</row>
    <row r="44" spans="1:18" ht="12.75">
      <c r="A44" s="54">
        <v>35</v>
      </c>
      <c r="B44" s="57" t="s">
        <v>256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190">
        <f t="shared" si="6"/>
        <v>0</v>
      </c>
      <c r="L44" s="190">
        <f t="shared" si="7"/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</row>
    <row r="45" spans="1:18" ht="12.75">
      <c r="A45" s="54">
        <v>36</v>
      </c>
      <c r="B45" s="57" t="s">
        <v>24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190">
        <f t="shared" si="6"/>
        <v>0</v>
      </c>
      <c r="L45" s="190">
        <f t="shared" si="7"/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</row>
    <row r="46" spans="1:18" ht="12.75">
      <c r="A46" s="54">
        <v>37</v>
      </c>
      <c r="B46" s="57" t="s">
        <v>223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190">
        <f t="shared" si="6"/>
        <v>0</v>
      </c>
      <c r="L46" s="190">
        <f t="shared" si="7"/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</row>
    <row r="47" spans="1:18" ht="12.75">
      <c r="A47" s="54">
        <v>38</v>
      </c>
      <c r="B47" s="57" t="s">
        <v>364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190">
        <f>C47-E47-I47</f>
        <v>0</v>
      </c>
      <c r="L47" s="190">
        <f>D47-F47-J47</f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</row>
    <row r="48" spans="1:18" ht="12.75">
      <c r="A48" s="54">
        <v>39</v>
      </c>
      <c r="B48" s="57" t="s">
        <v>366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190">
        <f t="shared" si="6"/>
        <v>0</v>
      </c>
      <c r="L48" s="190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</row>
    <row r="49" spans="1:18" s="232" customFormat="1" ht="14.25">
      <c r="A49" s="203"/>
      <c r="B49" s="164" t="s">
        <v>225</v>
      </c>
      <c r="C49" s="164">
        <f aca="true" t="shared" si="8" ref="C49:R49">SUM(C36:C48)</f>
        <v>0</v>
      </c>
      <c r="D49" s="164">
        <f t="shared" si="8"/>
        <v>0</v>
      </c>
      <c r="E49" s="164">
        <f t="shared" si="8"/>
        <v>0</v>
      </c>
      <c r="F49" s="164">
        <f t="shared" si="8"/>
        <v>0</v>
      </c>
      <c r="G49" s="164">
        <f t="shared" si="8"/>
        <v>0</v>
      </c>
      <c r="H49" s="164">
        <f t="shared" si="8"/>
        <v>0</v>
      </c>
      <c r="I49" s="164">
        <f t="shared" si="8"/>
        <v>0</v>
      </c>
      <c r="J49" s="164">
        <f t="shared" si="8"/>
        <v>0</v>
      </c>
      <c r="K49" s="197">
        <f t="shared" si="8"/>
        <v>0</v>
      </c>
      <c r="L49" s="197">
        <f t="shared" si="8"/>
        <v>0</v>
      </c>
      <c r="M49" s="164">
        <f t="shared" si="8"/>
        <v>0</v>
      </c>
      <c r="N49" s="164">
        <f t="shared" si="8"/>
        <v>0</v>
      </c>
      <c r="O49" s="164">
        <f t="shared" si="8"/>
        <v>0</v>
      </c>
      <c r="P49" s="164">
        <f t="shared" si="8"/>
        <v>0</v>
      </c>
      <c r="Q49" s="164">
        <f t="shared" si="8"/>
        <v>0</v>
      </c>
      <c r="R49" s="164">
        <f t="shared" si="8"/>
        <v>0</v>
      </c>
    </row>
    <row r="50" spans="1:18" s="232" customFormat="1" ht="15.75" customHeight="1">
      <c r="A50" s="203"/>
      <c r="B50" s="204" t="s">
        <v>123</v>
      </c>
      <c r="C50" s="164">
        <f aca="true" t="shared" si="9" ref="C50:R50">C27+C35+C49</f>
        <v>744</v>
      </c>
      <c r="D50" s="164">
        <f t="shared" si="9"/>
        <v>829</v>
      </c>
      <c r="E50" s="164">
        <f t="shared" si="9"/>
        <v>715</v>
      </c>
      <c r="F50" s="164">
        <f t="shared" si="9"/>
        <v>783</v>
      </c>
      <c r="G50" s="164">
        <f t="shared" si="9"/>
        <v>715</v>
      </c>
      <c r="H50" s="164">
        <f t="shared" si="9"/>
        <v>514</v>
      </c>
      <c r="I50" s="164">
        <f t="shared" si="9"/>
        <v>5</v>
      </c>
      <c r="J50" s="164">
        <f t="shared" si="9"/>
        <v>0</v>
      </c>
      <c r="K50" s="197">
        <f t="shared" si="9"/>
        <v>20</v>
      </c>
      <c r="L50" s="197">
        <f t="shared" si="9"/>
        <v>42</v>
      </c>
      <c r="M50" s="164">
        <f t="shared" si="9"/>
        <v>4116</v>
      </c>
      <c r="N50" s="164">
        <f t="shared" si="9"/>
        <v>8059</v>
      </c>
      <c r="O50" s="164">
        <f t="shared" si="9"/>
        <v>681</v>
      </c>
      <c r="P50" s="164">
        <f t="shared" si="9"/>
        <v>1159</v>
      </c>
      <c r="Q50" s="164">
        <f t="shared" si="9"/>
        <v>394</v>
      </c>
      <c r="R50" s="164">
        <f t="shared" si="9"/>
        <v>1040</v>
      </c>
    </row>
    <row r="51" spans="1:18" ht="12.75">
      <c r="A51" s="102"/>
      <c r="B51" s="102"/>
      <c r="C51" s="67"/>
      <c r="D51" s="67"/>
      <c r="E51" s="67"/>
      <c r="F51" s="67"/>
      <c r="G51" s="67"/>
      <c r="H51" s="67"/>
      <c r="I51" s="67"/>
      <c r="J51" s="67"/>
      <c r="K51" s="191"/>
      <c r="L51" s="191">
        <v>0</v>
      </c>
      <c r="M51" s="67"/>
      <c r="N51" s="67"/>
      <c r="O51" s="67"/>
      <c r="P51" s="67"/>
      <c r="Q51" s="67"/>
      <c r="R51" s="67"/>
    </row>
    <row r="52" spans="1:18" ht="12.75">
      <c r="A52" s="102"/>
      <c r="B52" s="102"/>
      <c r="C52" s="67"/>
      <c r="D52" s="67"/>
      <c r="E52" s="67"/>
      <c r="F52" s="67"/>
      <c r="G52" s="67"/>
      <c r="H52" s="67"/>
      <c r="I52" s="67"/>
      <c r="J52" s="67"/>
      <c r="K52" s="191"/>
      <c r="L52" s="191">
        <v>0</v>
      </c>
      <c r="M52" s="67"/>
      <c r="N52" s="67"/>
      <c r="O52" s="67"/>
      <c r="P52" s="67"/>
      <c r="Q52" s="67"/>
      <c r="R52" s="67"/>
    </row>
    <row r="53" spans="1:18" ht="15.75" customHeight="1">
      <c r="A53" s="102"/>
      <c r="B53" s="102"/>
      <c r="C53" s="67"/>
      <c r="D53" s="67"/>
      <c r="E53" s="67"/>
      <c r="F53" s="67"/>
      <c r="G53" s="67"/>
      <c r="H53" s="67"/>
      <c r="I53" s="67"/>
      <c r="J53" s="67"/>
      <c r="K53" s="191"/>
      <c r="L53" s="191"/>
      <c r="M53" s="67"/>
      <c r="N53" s="67"/>
      <c r="O53" s="67"/>
      <c r="P53" s="67"/>
      <c r="Q53" s="67"/>
      <c r="R53" s="67"/>
    </row>
    <row r="54" spans="1:18" ht="19.5" customHeight="1">
      <c r="A54" s="460"/>
      <c r="B54" s="460"/>
      <c r="C54" s="649" t="s">
        <v>434</v>
      </c>
      <c r="D54" s="649"/>
      <c r="E54" s="649"/>
      <c r="F54" s="649"/>
      <c r="G54" s="649"/>
      <c r="H54" s="649"/>
      <c r="I54" s="649"/>
      <c r="J54" s="649"/>
      <c r="K54" s="649"/>
      <c r="L54" s="649"/>
      <c r="M54" s="739" t="s">
        <v>3</v>
      </c>
      <c r="N54" s="740"/>
      <c r="O54" s="220"/>
      <c r="P54" s="221"/>
      <c r="Q54" s="220"/>
      <c r="R54" s="221"/>
    </row>
    <row r="55" spans="1:18" ht="12.75">
      <c r="A55" s="462"/>
      <c r="B55" s="462"/>
      <c r="C55" s="659" t="s">
        <v>249</v>
      </c>
      <c r="D55" s="660"/>
      <c r="E55" s="659" t="s">
        <v>248</v>
      </c>
      <c r="F55" s="660"/>
      <c r="G55" s="659" t="s">
        <v>86</v>
      </c>
      <c r="H55" s="660"/>
      <c r="I55" s="659" t="s">
        <v>253</v>
      </c>
      <c r="J55" s="660"/>
      <c r="K55" s="665" t="s">
        <v>252</v>
      </c>
      <c r="L55" s="743"/>
      <c r="M55" s="741" t="s">
        <v>85</v>
      </c>
      <c r="N55" s="742"/>
      <c r="O55" s="741" t="s">
        <v>139</v>
      </c>
      <c r="P55" s="742"/>
      <c r="Q55" s="741" t="s">
        <v>143</v>
      </c>
      <c r="R55" s="742"/>
    </row>
    <row r="56" spans="1:18" ht="12.75">
      <c r="A56" s="462" t="s">
        <v>4</v>
      </c>
      <c r="B56" s="462" t="s">
        <v>5</v>
      </c>
      <c r="C56" s="136" t="s">
        <v>57</v>
      </c>
      <c r="D56" s="136" t="s">
        <v>89</v>
      </c>
      <c r="E56" s="136" t="s">
        <v>57</v>
      </c>
      <c r="F56" s="136" t="s">
        <v>89</v>
      </c>
      <c r="G56" s="136" t="s">
        <v>57</v>
      </c>
      <c r="H56" s="136" t="s">
        <v>89</v>
      </c>
      <c r="I56" s="136" t="s">
        <v>57</v>
      </c>
      <c r="J56" s="215" t="s">
        <v>89</v>
      </c>
      <c r="K56" s="257" t="s">
        <v>57</v>
      </c>
      <c r="L56" s="257" t="s">
        <v>89</v>
      </c>
      <c r="M56" s="630" t="s">
        <v>251</v>
      </c>
      <c r="N56" s="629"/>
      <c r="O56" s="630" t="s">
        <v>250</v>
      </c>
      <c r="P56" s="629"/>
      <c r="Q56" s="630" t="s">
        <v>144</v>
      </c>
      <c r="R56" s="629"/>
    </row>
    <row r="57" spans="1:18" ht="12.75">
      <c r="A57" s="186"/>
      <c r="B57" s="186"/>
      <c r="C57" s="59"/>
      <c r="D57" s="59"/>
      <c r="E57" s="59"/>
      <c r="F57" s="59"/>
      <c r="G57" s="59"/>
      <c r="H57" s="59"/>
      <c r="I57" s="59"/>
      <c r="J57" s="234"/>
      <c r="K57" s="258"/>
      <c r="L57" s="258"/>
      <c r="M57" s="130" t="s">
        <v>57</v>
      </c>
      <c r="N57" s="130" t="s">
        <v>89</v>
      </c>
      <c r="O57" s="130" t="s">
        <v>57</v>
      </c>
      <c r="P57" s="130" t="s">
        <v>89</v>
      </c>
      <c r="Q57" s="130" t="s">
        <v>57</v>
      </c>
      <c r="R57" s="130" t="s">
        <v>63</v>
      </c>
    </row>
    <row r="58" spans="1:18" ht="15" customHeight="1">
      <c r="A58" s="54">
        <v>40</v>
      </c>
      <c r="B58" s="57" t="s">
        <v>78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190">
        <f aca="true" t="shared" si="10" ref="K58:K65">C58-E58-I58</f>
        <v>0</v>
      </c>
      <c r="L58" s="190">
        <f aca="true" t="shared" si="11" ref="L58:L65">D58-F58-J58</f>
        <v>0</v>
      </c>
      <c r="M58" s="57">
        <v>338</v>
      </c>
      <c r="N58" s="57">
        <v>1184</v>
      </c>
      <c r="O58" s="57">
        <v>17</v>
      </c>
      <c r="P58" s="57">
        <v>39</v>
      </c>
      <c r="Q58" s="57">
        <v>63</v>
      </c>
      <c r="R58" s="57">
        <v>187</v>
      </c>
    </row>
    <row r="59" spans="1:19" ht="15" customHeight="1">
      <c r="A59" s="54">
        <v>41</v>
      </c>
      <c r="B59" s="57" t="s">
        <v>278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190">
        <f t="shared" si="10"/>
        <v>0</v>
      </c>
      <c r="L59" s="190">
        <f t="shared" si="11"/>
        <v>0</v>
      </c>
      <c r="M59" s="57">
        <v>18</v>
      </c>
      <c r="N59" s="57">
        <v>20</v>
      </c>
      <c r="O59" s="57">
        <v>2</v>
      </c>
      <c r="P59" s="57">
        <v>4</v>
      </c>
      <c r="Q59" s="57">
        <v>2</v>
      </c>
      <c r="R59" s="57">
        <v>4</v>
      </c>
      <c r="S59" s="100"/>
    </row>
    <row r="60" spans="1:18" ht="15" customHeight="1">
      <c r="A60" s="54">
        <v>42</v>
      </c>
      <c r="B60" s="57" t="s">
        <v>30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190">
        <f t="shared" si="10"/>
        <v>0</v>
      </c>
      <c r="L60" s="190">
        <f t="shared" si="11"/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</row>
    <row r="61" spans="1:18" ht="15" customHeight="1">
      <c r="A61" s="54">
        <v>43</v>
      </c>
      <c r="B61" s="57" t="s">
        <v>234</v>
      </c>
      <c r="C61" s="57">
        <v>29</v>
      </c>
      <c r="D61" s="57">
        <v>73</v>
      </c>
      <c r="E61" s="57">
        <v>29</v>
      </c>
      <c r="F61" s="57">
        <v>70</v>
      </c>
      <c r="G61" s="57">
        <v>29</v>
      </c>
      <c r="H61" s="57">
        <v>30</v>
      </c>
      <c r="I61" s="57">
        <v>0</v>
      </c>
      <c r="J61" s="57">
        <v>0</v>
      </c>
      <c r="K61" s="190">
        <f t="shared" si="10"/>
        <v>0</v>
      </c>
      <c r="L61" s="190">
        <f t="shared" si="11"/>
        <v>3</v>
      </c>
      <c r="M61" s="57">
        <v>192</v>
      </c>
      <c r="N61" s="57">
        <v>421</v>
      </c>
      <c r="O61" s="57">
        <v>14</v>
      </c>
      <c r="P61" s="57">
        <v>19</v>
      </c>
      <c r="Q61" s="57">
        <v>29</v>
      </c>
      <c r="R61" s="57">
        <v>21</v>
      </c>
    </row>
    <row r="62" spans="1:18" ht="15" customHeight="1">
      <c r="A62" s="54">
        <v>44</v>
      </c>
      <c r="B62" s="57" t="s">
        <v>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190">
        <f t="shared" si="10"/>
        <v>0</v>
      </c>
      <c r="L62" s="190">
        <f t="shared" si="11"/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</row>
    <row r="63" spans="1:18" ht="15" customHeight="1">
      <c r="A63" s="54">
        <v>45</v>
      </c>
      <c r="B63" s="57" t="s">
        <v>391</v>
      </c>
      <c r="C63" s="57">
        <v>18</v>
      </c>
      <c r="D63" s="57">
        <v>45</v>
      </c>
      <c r="E63" s="57">
        <v>18</v>
      </c>
      <c r="F63" s="57">
        <v>45</v>
      </c>
      <c r="G63" s="57">
        <v>18</v>
      </c>
      <c r="H63" s="57">
        <v>37</v>
      </c>
      <c r="I63" s="57">
        <v>0</v>
      </c>
      <c r="J63" s="57">
        <v>0</v>
      </c>
      <c r="K63" s="190">
        <f t="shared" si="10"/>
        <v>0</v>
      </c>
      <c r="L63" s="190">
        <f t="shared" si="11"/>
        <v>0</v>
      </c>
      <c r="M63" s="57">
        <v>210</v>
      </c>
      <c r="N63" s="57">
        <v>595</v>
      </c>
      <c r="O63" s="57">
        <v>9</v>
      </c>
      <c r="P63" s="57">
        <v>22</v>
      </c>
      <c r="Q63" s="57">
        <v>5</v>
      </c>
      <c r="R63" s="57">
        <v>10</v>
      </c>
    </row>
    <row r="64" spans="1:18" ht="15" customHeight="1">
      <c r="A64" s="54">
        <v>46</v>
      </c>
      <c r="B64" s="57" t="s">
        <v>25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190">
        <f t="shared" si="10"/>
        <v>0</v>
      </c>
      <c r="L64" s="190">
        <f t="shared" si="11"/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</row>
    <row r="65" spans="1:18" ht="15" customHeight="1">
      <c r="A65" s="54">
        <v>47</v>
      </c>
      <c r="B65" s="57" t="s">
        <v>28</v>
      </c>
      <c r="C65" s="57">
        <v>4</v>
      </c>
      <c r="D65" s="57">
        <v>15</v>
      </c>
      <c r="E65" s="57">
        <v>4</v>
      </c>
      <c r="F65" s="57">
        <v>15</v>
      </c>
      <c r="G65" s="57">
        <v>4</v>
      </c>
      <c r="H65" s="57">
        <v>15</v>
      </c>
      <c r="I65" s="57">
        <v>0</v>
      </c>
      <c r="J65" s="57">
        <v>0</v>
      </c>
      <c r="K65" s="190">
        <f t="shared" si="10"/>
        <v>0</v>
      </c>
      <c r="L65" s="190">
        <f t="shared" si="11"/>
        <v>0</v>
      </c>
      <c r="M65" s="57">
        <v>26</v>
      </c>
      <c r="N65" s="57">
        <v>42</v>
      </c>
      <c r="O65" s="57">
        <v>0</v>
      </c>
      <c r="P65" s="57">
        <v>0</v>
      </c>
      <c r="Q65" s="57">
        <v>7</v>
      </c>
      <c r="R65" s="57">
        <v>21</v>
      </c>
    </row>
    <row r="66" spans="1:18" s="232" customFormat="1" ht="15" customHeight="1">
      <c r="A66" s="54"/>
      <c r="B66" s="204" t="s">
        <v>123</v>
      </c>
      <c r="C66" s="164">
        <f aca="true" t="shared" si="12" ref="C66:R66">SUM(C58:C65)</f>
        <v>51</v>
      </c>
      <c r="D66" s="164">
        <f t="shared" si="12"/>
        <v>133</v>
      </c>
      <c r="E66" s="164">
        <f t="shared" si="12"/>
        <v>51</v>
      </c>
      <c r="F66" s="164">
        <f t="shared" si="12"/>
        <v>130</v>
      </c>
      <c r="G66" s="164">
        <f t="shared" si="12"/>
        <v>51</v>
      </c>
      <c r="H66" s="164">
        <f t="shared" si="12"/>
        <v>82</v>
      </c>
      <c r="I66" s="164">
        <f t="shared" si="12"/>
        <v>0</v>
      </c>
      <c r="J66" s="164">
        <f t="shared" si="12"/>
        <v>0</v>
      </c>
      <c r="K66" s="197">
        <f t="shared" si="12"/>
        <v>0</v>
      </c>
      <c r="L66" s="197">
        <f t="shared" si="12"/>
        <v>3</v>
      </c>
      <c r="M66" s="164">
        <f t="shared" si="12"/>
        <v>784</v>
      </c>
      <c r="N66" s="164">
        <f t="shared" si="12"/>
        <v>2262</v>
      </c>
      <c r="O66" s="164">
        <f t="shared" si="12"/>
        <v>42</v>
      </c>
      <c r="P66" s="164">
        <f t="shared" si="12"/>
        <v>84</v>
      </c>
      <c r="Q66" s="164">
        <f t="shared" si="12"/>
        <v>106</v>
      </c>
      <c r="R66" s="164">
        <f t="shared" si="12"/>
        <v>243</v>
      </c>
    </row>
    <row r="67" spans="1:18" ht="15" customHeight="1">
      <c r="A67" s="54"/>
      <c r="B67" s="103" t="s">
        <v>36</v>
      </c>
      <c r="C67" s="57"/>
      <c r="D67" s="57"/>
      <c r="E67" s="57"/>
      <c r="F67" s="57"/>
      <c r="G67" s="57"/>
      <c r="H67" s="57"/>
      <c r="I67" s="57"/>
      <c r="J67" s="57"/>
      <c r="K67" s="190"/>
      <c r="L67" s="190"/>
      <c r="M67" s="57"/>
      <c r="N67" s="57"/>
      <c r="O67" s="57"/>
      <c r="P67" s="57"/>
      <c r="Q67" s="57"/>
      <c r="R67" s="57"/>
    </row>
    <row r="68" spans="1:18" ht="15" customHeight="1">
      <c r="A68" s="54">
        <v>48</v>
      </c>
      <c r="B68" s="57" t="s">
        <v>34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190">
        <f>C68-E68-I68</f>
        <v>0</v>
      </c>
      <c r="L68" s="190">
        <f>D68-F68-J68</f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</row>
    <row r="69" spans="1:18" ht="15" customHeight="1">
      <c r="A69" s="54">
        <v>49</v>
      </c>
      <c r="B69" s="57" t="s">
        <v>130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190">
        <f>C69-E69-I69</f>
        <v>0</v>
      </c>
      <c r="L69" s="190">
        <f>D69-F69-J69</f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</row>
    <row r="70" spans="1:18" s="232" customFormat="1" ht="15" customHeight="1">
      <c r="A70" s="203"/>
      <c r="B70" s="204" t="s">
        <v>123</v>
      </c>
      <c r="C70" s="164">
        <f aca="true" t="shared" si="13" ref="C70:R70">SUM(C68:C69)</f>
        <v>0</v>
      </c>
      <c r="D70" s="164">
        <f t="shared" si="13"/>
        <v>0</v>
      </c>
      <c r="E70" s="164">
        <f t="shared" si="13"/>
        <v>0</v>
      </c>
      <c r="F70" s="164">
        <f t="shared" si="13"/>
        <v>0</v>
      </c>
      <c r="G70" s="164">
        <f t="shared" si="13"/>
        <v>0</v>
      </c>
      <c r="H70" s="164">
        <f t="shared" si="13"/>
        <v>0</v>
      </c>
      <c r="I70" s="164">
        <f t="shared" si="13"/>
        <v>0</v>
      </c>
      <c r="J70" s="164">
        <f t="shared" si="13"/>
        <v>0</v>
      </c>
      <c r="K70" s="197">
        <f t="shared" si="13"/>
        <v>0</v>
      </c>
      <c r="L70" s="197">
        <f t="shared" si="13"/>
        <v>0</v>
      </c>
      <c r="M70" s="164">
        <f t="shared" si="13"/>
        <v>0</v>
      </c>
      <c r="N70" s="164">
        <f t="shared" si="13"/>
        <v>0</v>
      </c>
      <c r="O70" s="164">
        <f t="shared" si="13"/>
        <v>0</v>
      </c>
      <c r="P70" s="164">
        <f t="shared" si="13"/>
        <v>0</v>
      </c>
      <c r="Q70" s="164">
        <f t="shared" si="13"/>
        <v>0</v>
      </c>
      <c r="R70" s="164">
        <f t="shared" si="13"/>
        <v>0</v>
      </c>
    </row>
    <row r="71" spans="1:18" s="232" customFormat="1" ht="15" customHeight="1">
      <c r="A71" s="203"/>
      <c r="B71" s="204" t="s">
        <v>35</v>
      </c>
      <c r="C71" s="164">
        <f aca="true" t="shared" si="14" ref="C71:R71">C50+C66+C70</f>
        <v>795</v>
      </c>
      <c r="D71" s="164">
        <f t="shared" si="14"/>
        <v>962</v>
      </c>
      <c r="E71" s="164">
        <f t="shared" si="14"/>
        <v>766</v>
      </c>
      <c r="F71" s="164">
        <f t="shared" si="14"/>
        <v>913</v>
      </c>
      <c r="G71" s="164">
        <f t="shared" si="14"/>
        <v>766</v>
      </c>
      <c r="H71" s="164">
        <f t="shared" si="14"/>
        <v>596</v>
      </c>
      <c r="I71" s="164">
        <f t="shared" si="14"/>
        <v>5</v>
      </c>
      <c r="J71" s="164">
        <f t="shared" si="14"/>
        <v>0</v>
      </c>
      <c r="K71" s="197">
        <f t="shared" si="14"/>
        <v>20</v>
      </c>
      <c r="L71" s="197">
        <f t="shared" si="14"/>
        <v>45</v>
      </c>
      <c r="M71" s="164">
        <f t="shared" si="14"/>
        <v>4900</v>
      </c>
      <c r="N71" s="164">
        <f t="shared" si="14"/>
        <v>10321</v>
      </c>
      <c r="O71" s="164">
        <f t="shared" si="14"/>
        <v>723</v>
      </c>
      <c r="P71" s="164">
        <f t="shared" si="14"/>
        <v>1243</v>
      </c>
      <c r="Q71" s="164">
        <f t="shared" si="14"/>
        <v>500</v>
      </c>
      <c r="R71" s="164">
        <f t="shared" si="14"/>
        <v>1283</v>
      </c>
    </row>
    <row r="74" spans="8:9" ht="12.75">
      <c r="H74" s="24">
        <v>19</v>
      </c>
      <c r="I74" s="24" t="s">
        <v>419</v>
      </c>
    </row>
  </sheetData>
  <sheetProtection/>
  <mergeCells count="26">
    <mergeCell ref="C55:D55"/>
    <mergeCell ref="E55:F55"/>
    <mergeCell ref="G55:H55"/>
    <mergeCell ref="I55:J55"/>
    <mergeCell ref="M56:N56"/>
    <mergeCell ref="Q56:R56"/>
    <mergeCell ref="O55:P55"/>
    <mergeCell ref="O56:P56"/>
    <mergeCell ref="C4:L4"/>
    <mergeCell ref="C5:D5"/>
    <mergeCell ref="M5:N5"/>
    <mergeCell ref="M4:N4"/>
    <mergeCell ref="E5:F5"/>
    <mergeCell ref="M55:N55"/>
    <mergeCell ref="Q5:R5"/>
    <mergeCell ref="Q6:R6"/>
    <mergeCell ref="K5:L5"/>
    <mergeCell ref="Q55:R55"/>
    <mergeCell ref="K55:L55"/>
    <mergeCell ref="M54:N54"/>
    <mergeCell ref="O5:P5"/>
    <mergeCell ref="O6:P6"/>
    <mergeCell ref="G5:H5"/>
    <mergeCell ref="M6:N6"/>
    <mergeCell ref="C54:L54"/>
    <mergeCell ref="I5:J5"/>
  </mergeCells>
  <printOptions gridLines="1" horizontalCentered="1"/>
  <pageMargins left="0.75" right="0.5" top="0.75" bottom="0.75" header="0.5" footer="0.5"/>
  <pageSetup blackAndWhite="1" horizontalDpi="300" verticalDpi="300" orientation="landscape" paperSize="9" scale="70" r:id="rId2"/>
  <rowBreaks count="1" manualBreakCount="1">
    <brk id="50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80"/>
  <sheetViews>
    <sheetView zoomScale="120" zoomScaleNormal="120" zoomScalePageLayoutView="0" workbookViewId="0" topLeftCell="I1">
      <selection activeCell="O41" sqref="O41"/>
    </sheetView>
  </sheetViews>
  <sheetFormatPr defaultColWidth="9.140625" defaultRowHeight="12.75"/>
  <cols>
    <col min="1" max="1" width="3.7109375" style="0" customWidth="1"/>
    <col min="2" max="2" width="21.57421875" style="0" bestFit="1" customWidth="1"/>
    <col min="3" max="3" width="11.00390625" style="6" customWidth="1"/>
    <col min="4" max="4" width="11.00390625" style="22" customWidth="1"/>
    <col min="5" max="5" width="10.00390625" style="22" customWidth="1"/>
    <col min="6" max="6" width="11.140625" style="22" customWidth="1"/>
    <col min="7" max="7" width="10.00390625" style="22" customWidth="1"/>
    <col min="8" max="8" width="10.8515625" style="22" customWidth="1"/>
    <col min="9" max="9" width="8.7109375" style="22" customWidth="1"/>
    <col min="10" max="10" width="9.7109375" style="22" customWidth="1"/>
    <col min="11" max="11" width="10.28125" style="22" customWidth="1"/>
    <col min="12" max="12" width="9.8515625" style="22" bestFit="1" customWidth="1"/>
    <col min="13" max="13" width="10.00390625" style="99" customWidth="1"/>
    <col min="14" max="14" width="9.8515625" style="99" bestFit="1" customWidth="1"/>
    <col min="15" max="15" width="9.28125" style="6" customWidth="1"/>
    <col min="16" max="16" width="9.7109375" style="6" customWidth="1"/>
  </cols>
  <sheetData>
    <row r="1" spans="1:16" ht="16.5" customHeight="1">
      <c r="A1" s="52"/>
      <c r="B1" s="87"/>
      <c r="C1" s="128"/>
      <c r="D1" s="164"/>
      <c r="E1" s="164"/>
      <c r="F1" s="164"/>
      <c r="G1" s="164"/>
      <c r="H1" s="164"/>
      <c r="I1" s="164"/>
      <c r="J1" s="164"/>
      <c r="K1" s="57"/>
      <c r="L1" s="57"/>
      <c r="M1" s="190"/>
      <c r="N1" s="190"/>
      <c r="O1" s="51"/>
      <c r="P1" s="51"/>
    </row>
    <row r="2" spans="1:16" ht="16.5" customHeight="1">
      <c r="A2" s="52"/>
      <c r="B2" s="52"/>
      <c r="C2" s="53"/>
      <c r="D2" s="57"/>
      <c r="E2" s="164"/>
      <c r="F2" s="164"/>
      <c r="G2" s="57"/>
      <c r="H2" s="57"/>
      <c r="I2" s="57"/>
      <c r="J2" s="57"/>
      <c r="K2" s="57"/>
      <c r="L2" s="57"/>
      <c r="M2" s="190"/>
      <c r="N2" s="190"/>
      <c r="O2" s="51"/>
      <c r="P2" s="51"/>
    </row>
    <row r="3" spans="1:16" ht="15" customHeight="1">
      <c r="A3" s="50"/>
      <c r="B3" s="50"/>
      <c r="C3" s="51"/>
      <c r="D3" s="57"/>
      <c r="E3" s="57"/>
      <c r="F3" s="164"/>
      <c r="G3" s="58"/>
      <c r="H3" s="58"/>
      <c r="I3" s="58"/>
      <c r="J3" s="58"/>
      <c r="K3" s="57"/>
      <c r="L3" s="57"/>
      <c r="M3" s="190"/>
      <c r="N3" s="190"/>
      <c r="O3" s="51"/>
      <c r="P3" s="51"/>
    </row>
    <row r="4" spans="1:16" ht="12.75">
      <c r="A4" s="52" t="s">
        <v>4</v>
      </c>
      <c r="B4" s="52" t="s">
        <v>5</v>
      </c>
      <c r="C4" s="744"/>
      <c r="D4" s="744"/>
      <c r="E4" s="744"/>
      <c r="F4" s="744"/>
      <c r="G4" s="662" t="s">
        <v>212</v>
      </c>
      <c r="H4" s="662"/>
      <c r="I4" s="662"/>
      <c r="J4" s="662"/>
      <c r="K4" s="662"/>
      <c r="L4" s="662"/>
      <c r="M4" s="662"/>
      <c r="N4" s="662"/>
      <c r="O4" s="51"/>
      <c r="P4" s="51"/>
    </row>
    <row r="5" spans="1:16" ht="12.75">
      <c r="A5" s="52"/>
      <c r="B5" s="52"/>
      <c r="C5" s="744" t="s">
        <v>45</v>
      </c>
      <c r="D5" s="744"/>
      <c r="E5" s="662" t="s">
        <v>46</v>
      </c>
      <c r="F5" s="662"/>
      <c r="G5" s="662" t="s">
        <v>120</v>
      </c>
      <c r="H5" s="662"/>
      <c r="I5" s="662" t="s">
        <v>370</v>
      </c>
      <c r="J5" s="662"/>
      <c r="K5" s="662" t="s">
        <v>62</v>
      </c>
      <c r="L5" s="662"/>
      <c r="M5" s="661" t="s">
        <v>121</v>
      </c>
      <c r="N5" s="661"/>
      <c r="O5" s="744" t="s">
        <v>200</v>
      </c>
      <c r="P5" s="744"/>
    </row>
    <row r="6" spans="1:16" ht="12.75">
      <c r="A6" s="129"/>
      <c r="B6" s="129"/>
      <c r="C6" s="82" t="s">
        <v>57</v>
      </c>
      <c r="D6" s="130" t="s">
        <v>63</v>
      </c>
      <c r="E6" s="130" t="s">
        <v>57</v>
      </c>
      <c r="F6" s="130" t="s">
        <v>63</v>
      </c>
      <c r="G6" s="130" t="s">
        <v>57</v>
      </c>
      <c r="H6" s="130" t="s">
        <v>63</v>
      </c>
      <c r="I6" s="130" t="s">
        <v>57</v>
      </c>
      <c r="J6" s="130" t="s">
        <v>63</v>
      </c>
      <c r="K6" s="130" t="s">
        <v>57</v>
      </c>
      <c r="L6" s="130" t="s">
        <v>63</v>
      </c>
      <c r="M6" s="252" t="s">
        <v>57</v>
      </c>
      <c r="N6" s="252" t="s">
        <v>63</v>
      </c>
      <c r="O6" s="130" t="s">
        <v>57</v>
      </c>
      <c r="P6" s="130" t="s">
        <v>63</v>
      </c>
    </row>
    <row r="7" spans="1:18" s="117" customFormat="1" ht="12.75">
      <c r="A7" s="115">
        <v>1</v>
      </c>
      <c r="B7" s="116" t="s">
        <v>7</v>
      </c>
      <c r="C7" s="116">
        <v>312698</v>
      </c>
      <c r="D7" s="57">
        <v>44079</v>
      </c>
      <c r="E7" s="57">
        <v>48676</v>
      </c>
      <c r="F7" s="57">
        <v>31447</v>
      </c>
      <c r="G7" s="57">
        <v>22956</v>
      </c>
      <c r="H7" s="57">
        <v>15569</v>
      </c>
      <c r="I7" s="57">
        <v>1105</v>
      </c>
      <c r="J7" s="57">
        <v>1357</v>
      </c>
      <c r="K7" s="57">
        <v>8997</v>
      </c>
      <c r="L7" s="57">
        <v>6569</v>
      </c>
      <c r="M7" s="190">
        <f aca="true" t="shared" si="0" ref="M7:N25">E7-G7-I7-K7</f>
        <v>15618</v>
      </c>
      <c r="N7" s="190">
        <f t="shared" si="0"/>
        <v>7952</v>
      </c>
      <c r="O7" s="116">
        <v>10603</v>
      </c>
      <c r="P7" s="116">
        <v>8478</v>
      </c>
      <c r="Q7" s="127"/>
      <c r="R7" s="127"/>
    </row>
    <row r="8" spans="1:18" s="117" customFormat="1" ht="12.75">
      <c r="A8" s="115">
        <v>2</v>
      </c>
      <c r="B8" s="116" t="s">
        <v>8</v>
      </c>
      <c r="C8" s="116">
        <v>5752</v>
      </c>
      <c r="D8" s="57">
        <v>9862</v>
      </c>
      <c r="E8" s="57">
        <v>634</v>
      </c>
      <c r="F8" s="57">
        <v>1406</v>
      </c>
      <c r="G8" s="57">
        <v>5</v>
      </c>
      <c r="H8" s="57">
        <v>80</v>
      </c>
      <c r="I8" s="57">
        <v>112</v>
      </c>
      <c r="J8" s="57">
        <v>633</v>
      </c>
      <c r="K8" s="57">
        <v>371</v>
      </c>
      <c r="L8" s="57">
        <v>396</v>
      </c>
      <c r="M8" s="190">
        <f t="shared" si="0"/>
        <v>146</v>
      </c>
      <c r="N8" s="190">
        <f t="shared" si="0"/>
        <v>297</v>
      </c>
      <c r="O8" s="116">
        <v>34</v>
      </c>
      <c r="P8" s="116">
        <v>15</v>
      </c>
      <c r="Q8" s="127"/>
      <c r="R8" s="127"/>
    </row>
    <row r="9" spans="1:18" s="117" customFormat="1" ht="12.75">
      <c r="A9" s="115">
        <v>3</v>
      </c>
      <c r="B9" s="116" t="s">
        <v>9</v>
      </c>
      <c r="C9" s="116">
        <v>39841</v>
      </c>
      <c r="D9" s="57">
        <v>12056</v>
      </c>
      <c r="E9" s="57">
        <v>10553</v>
      </c>
      <c r="F9" s="57">
        <v>13905</v>
      </c>
      <c r="G9" s="57">
        <v>4644</v>
      </c>
      <c r="H9" s="57">
        <v>2596</v>
      </c>
      <c r="I9" s="57">
        <v>1356</v>
      </c>
      <c r="J9" s="57">
        <v>2420</v>
      </c>
      <c r="K9" s="57">
        <v>3486</v>
      </c>
      <c r="L9" s="57">
        <v>6873</v>
      </c>
      <c r="M9" s="190">
        <f t="shared" si="0"/>
        <v>1067</v>
      </c>
      <c r="N9" s="190">
        <f t="shared" si="0"/>
        <v>2016</v>
      </c>
      <c r="O9" s="116">
        <v>959</v>
      </c>
      <c r="P9" s="116">
        <v>557</v>
      </c>
      <c r="Q9" s="127"/>
      <c r="R9" s="127"/>
    </row>
    <row r="10" spans="1:18" ht="12.75">
      <c r="A10" s="50">
        <v>4</v>
      </c>
      <c r="B10" s="51" t="s">
        <v>10</v>
      </c>
      <c r="C10" s="51">
        <v>219638</v>
      </c>
      <c r="D10" s="57">
        <v>53238</v>
      </c>
      <c r="E10" s="57">
        <v>67203</v>
      </c>
      <c r="F10" s="57">
        <v>35239</v>
      </c>
      <c r="G10" s="57">
        <v>27718</v>
      </c>
      <c r="H10" s="57">
        <v>16247</v>
      </c>
      <c r="I10" s="57">
        <v>2747</v>
      </c>
      <c r="J10" s="57">
        <v>2817</v>
      </c>
      <c r="K10" s="57">
        <v>20411</v>
      </c>
      <c r="L10" s="57">
        <v>10948</v>
      </c>
      <c r="M10" s="190">
        <f t="shared" si="0"/>
        <v>16327</v>
      </c>
      <c r="N10" s="190">
        <f t="shared" si="0"/>
        <v>5227</v>
      </c>
      <c r="O10" s="51">
        <v>6932</v>
      </c>
      <c r="P10" s="51">
        <v>3357</v>
      </c>
      <c r="Q10" s="6"/>
      <c r="R10" s="6"/>
    </row>
    <row r="11" spans="1:18" ht="12.75">
      <c r="A11" s="50">
        <v>5</v>
      </c>
      <c r="B11" s="51" t="s">
        <v>11</v>
      </c>
      <c r="C11" s="51">
        <v>115113</v>
      </c>
      <c r="D11" s="57">
        <v>53796</v>
      </c>
      <c r="E11" s="57">
        <v>24187</v>
      </c>
      <c r="F11" s="57">
        <v>18306</v>
      </c>
      <c r="G11" s="57">
        <v>4632</v>
      </c>
      <c r="H11" s="57">
        <v>3828</v>
      </c>
      <c r="I11" s="57">
        <v>1176</v>
      </c>
      <c r="J11" s="57">
        <v>552</v>
      </c>
      <c r="K11" s="57">
        <v>4301</v>
      </c>
      <c r="L11" s="57">
        <v>3971</v>
      </c>
      <c r="M11" s="190">
        <f t="shared" si="0"/>
        <v>14078</v>
      </c>
      <c r="N11" s="190">
        <f t="shared" si="0"/>
        <v>9955</v>
      </c>
      <c r="O11" s="51">
        <v>2024</v>
      </c>
      <c r="P11" s="51">
        <v>1245</v>
      </c>
      <c r="Q11" s="6"/>
      <c r="R11" s="6"/>
    </row>
    <row r="12" spans="1:18" ht="12.75">
      <c r="A12" s="50">
        <v>6</v>
      </c>
      <c r="B12" s="51" t="s">
        <v>12</v>
      </c>
      <c r="C12" s="51">
        <v>0</v>
      </c>
      <c r="D12" s="57">
        <v>0</v>
      </c>
      <c r="E12" s="57">
        <v>4395</v>
      </c>
      <c r="F12" s="57">
        <v>9032</v>
      </c>
      <c r="G12" s="57">
        <v>643</v>
      </c>
      <c r="H12" s="57">
        <v>801</v>
      </c>
      <c r="I12" s="57">
        <v>443</v>
      </c>
      <c r="J12" s="57">
        <v>1304</v>
      </c>
      <c r="K12" s="57">
        <v>1234</v>
      </c>
      <c r="L12" s="57">
        <v>2170</v>
      </c>
      <c r="M12" s="190">
        <f t="shared" si="0"/>
        <v>2075</v>
      </c>
      <c r="N12" s="190">
        <f t="shared" si="0"/>
        <v>4757</v>
      </c>
      <c r="O12" s="51">
        <v>685</v>
      </c>
      <c r="P12" s="51">
        <v>462</v>
      </c>
      <c r="Q12" s="6"/>
      <c r="R12" s="6"/>
    </row>
    <row r="13" spans="1:18" s="103" customFormat="1" ht="12.75">
      <c r="A13" s="54">
        <v>7</v>
      </c>
      <c r="B13" s="57" t="s">
        <v>13</v>
      </c>
      <c r="C13" s="57">
        <v>299081</v>
      </c>
      <c r="D13" s="57">
        <v>139045</v>
      </c>
      <c r="E13" s="57">
        <v>88803</v>
      </c>
      <c r="F13" s="57">
        <v>59337</v>
      </c>
      <c r="G13" s="57">
        <v>39455</v>
      </c>
      <c r="H13" s="57">
        <v>24456</v>
      </c>
      <c r="I13" s="57">
        <v>4187</v>
      </c>
      <c r="J13" s="57">
        <v>3738</v>
      </c>
      <c r="K13" s="57">
        <v>20756</v>
      </c>
      <c r="L13" s="57">
        <v>13748</v>
      </c>
      <c r="M13" s="190">
        <f t="shared" si="0"/>
        <v>24405</v>
      </c>
      <c r="N13" s="190">
        <f t="shared" si="0"/>
        <v>17395</v>
      </c>
      <c r="O13" s="57">
        <v>10115</v>
      </c>
      <c r="P13" s="57">
        <v>4509</v>
      </c>
      <c r="Q13" s="22"/>
      <c r="R13" s="22"/>
    </row>
    <row r="14" spans="1:18" s="103" customFormat="1" ht="12.75">
      <c r="A14" s="54">
        <v>8</v>
      </c>
      <c r="B14" s="57" t="s">
        <v>162</v>
      </c>
      <c r="C14" s="57">
        <v>0</v>
      </c>
      <c r="D14" s="57">
        <v>0</v>
      </c>
      <c r="E14" s="57">
        <v>692</v>
      </c>
      <c r="F14" s="57">
        <v>1031</v>
      </c>
      <c r="G14" s="57">
        <v>36</v>
      </c>
      <c r="H14" s="57">
        <v>73</v>
      </c>
      <c r="I14" s="57">
        <v>88</v>
      </c>
      <c r="J14" s="57">
        <v>94</v>
      </c>
      <c r="K14" s="57">
        <v>350</v>
      </c>
      <c r="L14" s="57">
        <v>622</v>
      </c>
      <c r="M14" s="190">
        <f t="shared" si="0"/>
        <v>218</v>
      </c>
      <c r="N14" s="190">
        <f t="shared" si="0"/>
        <v>242</v>
      </c>
      <c r="O14" s="57">
        <v>137</v>
      </c>
      <c r="P14" s="57">
        <v>96</v>
      </c>
      <c r="Q14" s="22"/>
      <c r="R14" s="22"/>
    </row>
    <row r="15" spans="1:18" ht="12.75">
      <c r="A15" s="50">
        <v>9</v>
      </c>
      <c r="B15" s="51" t="s">
        <v>14</v>
      </c>
      <c r="C15" s="51">
        <v>53180</v>
      </c>
      <c r="D15" s="57">
        <v>14080</v>
      </c>
      <c r="E15" s="57">
        <v>5179</v>
      </c>
      <c r="F15" s="57">
        <v>6007</v>
      </c>
      <c r="G15" s="57">
        <v>912</v>
      </c>
      <c r="H15" s="57">
        <v>877</v>
      </c>
      <c r="I15" s="57">
        <v>274</v>
      </c>
      <c r="J15" s="57">
        <v>200</v>
      </c>
      <c r="K15" s="57">
        <v>2705</v>
      </c>
      <c r="L15" s="57">
        <v>3483</v>
      </c>
      <c r="M15" s="190">
        <f t="shared" si="0"/>
        <v>1288</v>
      </c>
      <c r="N15" s="190">
        <f t="shared" si="0"/>
        <v>1447</v>
      </c>
      <c r="O15" s="51">
        <v>1093</v>
      </c>
      <c r="P15" s="51">
        <v>510</v>
      </c>
      <c r="Q15" s="6"/>
      <c r="R15" s="6"/>
    </row>
    <row r="16" spans="1:18" ht="12.75">
      <c r="A16" s="50">
        <v>10</v>
      </c>
      <c r="B16" s="51" t="s">
        <v>15</v>
      </c>
      <c r="C16" s="51">
        <v>17310</v>
      </c>
      <c r="D16" s="57">
        <v>12662</v>
      </c>
      <c r="E16" s="57">
        <v>922</v>
      </c>
      <c r="F16" s="57">
        <v>913</v>
      </c>
      <c r="G16" s="57">
        <v>201</v>
      </c>
      <c r="H16" s="57">
        <v>72</v>
      </c>
      <c r="I16" s="57">
        <v>40</v>
      </c>
      <c r="J16" s="57">
        <v>29</v>
      </c>
      <c r="K16" s="57">
        <v>314</v>
      </c>
      <c r="L16" s="57">
        <v>389</v>
      </c>
      <c r="M16" s="190">
        <f t="shared" si="0"/>
        <v>367</v>
      </c>
      <c r="N16" s="190">
        <f t="shared" si="0"/>
        <v>423</v>
      </c>
      <c r="O16" s="51">
        <v>76</v>
      </c>
      <c r="P16" s="51">
        <v>35</v>
      </c>
      <c r="Q16" s="6"/>
      <c r="R16" s="6"/>
    </row>
    <row r="17" spans="1:18" ht="12.75">
      <c r="A17" s="50">
        <v>11</v>
      </c>
      <c r="B17" s="51" t="s">
        <v>16</v>
      </c>
      <c r="C17" s="51">
        <v>2412</v>
      </c>
      <c r="D17" s="57">
        <v>2630</v>
      </c>
      <c r="E17" s="57">
        <v>1803</v>
      </c>
      <c r="F17" s="57">
        <v>1633</v>
      </c>
      <c r="G17" s="57">
        <v>2</v>
      </c>
      <c r="H17" s="57">
        <v>1</v>
      </c>
      <c r="I17" s="57">
        <v>43</v>
      </c>
      <c r="J17" s="57">
        <v>476</v>
      </c>
      <c r="K17" s="57">
        <v>452</v>
      </c>
      <c r="L17" s="57">
        <v>498</v>
      </c>
      <c r="M17" s="190">
        <f t="shared" si="0"/>
        <v>1306</v>
      </c>
      <c r="N17" s="190">
        <f t="shared" si="0"/>
        <v>658</v>
      </c>
      <c r="O17" s="51">
        <v>376</v>
      </c>
      <c r="P17" s="51">
        <v>260</v>
      </c>
      <c r="Q17" s="6"/>
      <c r="R17" s="6"/>
    </row>
    <row r="18" spans="1:18" ht="12.75">
      <c r="A18" s="50">
        <v>12</v>
      </c>
      <c r="B18" s="51" t="s">
        <v>17</v>
      </c>
      <c r="C18" s="51">
        <v>82446</v>
      </c>
      <c r="D18" s="57">
        <v>27384</v>
      </c>
      <c r="E18" s="57">
        <v>5025</v>
      </c>
      <c r="F18" s="57">
        <v>7290</v>
      </c>
      <c r="G18" s="57">
        <v>656</v>
      </c>
      <c r="H18" s="57">
        <v>1222</v>
      </c>
      <c r="I18" s="57">
        <v>1747</v>
      </c>
      <c r="J18" s="57">
        <v>1047</v>
      </c>
      <c r="K18" s="57">
        <v>1582</v>
      </c>
      <c r="L18" s="57">
        <v>3694</v>
      </c>
      <c r="M18" s="190">
        <f t="shared" si="0"/>
        <v>1040</v>
      </c>
      <c r="N18" s="190">
        <f t="shared" si="0"/>
        <v>1327</v>
      </c>
      <c r="O18" s="51">
        <v>1374</v>
      </c>
      <c r="P18" s="51">
        <v>673</v>
      </c>
      <c r="Q18" s="6"/>
      <c r="R18" s="6"/>
    </row>
    <row r="19" spans="1:18" ht="11.25" customHeight="1">
      <c r="A19" s="50">
        <v>13</v>
      </c>
      <c r="B19" s="51" t="s">
        <v>164</v>
      </c>
      <c r="C19" s="51">
        <v>40260</v>
      </c>
      <c r="D19" s="57">
        <v>11588</v>
      </c>
      <c r="E19" s="57">
        <v>1477</v>
      </c>
      <c r="F19" s="57">
        <v>1941</v>
      </c>
      <c r="G19" s="57">
        <v>253</v>
      </c>
      <c r="H19" s="57">
        <v>219</v>
      </c>
      <c r="I19" s="57">
        <v>687</v>
      </c>
      <c r="J19" s="57">
        <v>396</v>
      </c>
      <c r="K19" s="57">
        <v>211</v>
      </c>
      <c r="L19" s="57">
        <v>647</v>
      </c>
      <c r="M19" s="190">
        <f t="shared" si="0"/>
        <v>326</v>
      </c>
      <c r="N19" s="190">
        <f t="shared" si="0"/>
        <v>679</v>
      </c>
      <c r="O19" s="51">
        <v>582</v>
      </c>
      <c r="P19" s="51">
        <v>65</v>
      </c>
      <c r="Q19" s="6"/>
      <c r="R19" s="6"/>
    </row>
    <row r="20" spans="1:18" ht="12.75">
      <c r="A20" s="50">
        <v>14</v>
      </c>
      <c r="B20" s="51" t="s">
        <v>77</v>
      </c>
      <c r="C20" s="51">
        <v>201957</v>
      </c>
      <c r="D20" s="57">
        <v>68912</v>
      </c>
      <c r="E20" s="57">
        <v>31848</v>
      </c>
      <c r="F20" s="57">
        <v>29527</v>
      </c>
      <c r="G20" s="57">
        <v>8559</v>
      </c>
      <c r="H20" s="57">
        <v>7985</v>
      </c>
      <c r="I20" s="57">
        <v>1828</v>
      </c>
      <c r="J20" s="57">
        <v>2886</v>
      </c>
      <c r="K20" s="57">
        <v>10067</v>
      </c>
      <c r="L20" s="57">
        <v>13982</v>
      </c>
      <c r="M20" s="190">
        <f t="shared" si="0"/>
        <v>11394</v>
      </c>
      <c r="N20" s="190">
        <f t="shared" si="0"/>
        <v>4674</v>
      </c>
      <c r="O20" s="51">
        <v>3465</v>
      </c>
      <c r="P20" s="51">
        <v>1575</v>
      </c>
      <c r="Q20" s="6"/>
      <c r="R20" s="6"/>
    </row>
    <row r="21" spans="1:18" ht="12.75">
      <c r="A21" s="50">
        <v>15</v>
      </c>
      <c r="B21" s="51" t="s">
        <v>105</v>
      </c>
      <c r="C21" s="51">
        <v>1875</v>
      </c>
      <c r="D21" s="57">
        <v>2215</v>
      </c>
      <c r="E21" s="57">
        <v>3031</v>
      </c>
      <c r="F21" s="57">
        <v>3343</v>
      </c>
      <c r="G21" s="57">
        <v>461</v>
      </c>
      <c r="H21" s="57">
        <v>376</v>
      </c>
      <c r="I21" s="57">
        <v>28</v>
      </c>
      <c r="J21" s="57">
        <v>89</v>
      </c>
      <c r="K21" s="57">
        <v>1331</v>
      </c>
      <c r="L21" s="57">
        <v>1953</v>
      </c>
      <c r="M21" s="190">
        <f t="shared" si="0"/>
        <v>1211</v>
      </c>
      <c r="N21" s="190">
        <f t="shared" si="0"/>
        <v>925</v>
      </c>
      <c r="O21" s="51">
        <v>521</v>
      </c>
      <c r="P21" s="51">
        <v>285</v>
      </c>
      <c r="Q21" s="6"/>
      <c r="R21" s="6"/>
    </row>
    <row r="22" spans="1:18" s="103" customFormat="1" ht="12.75">
      <c r="A22" s="54">
        <v>16</v>
      </c>
      <c r="B22" s="57" t="s">
        <v>20</v>
      </c>
      <c r="C22" s="57">
        <v>7967</v>
      </c>
      <c r="D22" s="57">
        <v>3361</v>
      </c>
      <c r="E22" s="57">
        <v>9143</v>
      </c>
      <c r="F22" s="57">
        <v>4663</v>
      </c>
      <c r="G22" s="57">
        <v>8424</v>
      </c>
      <c r="H22" s="57">
        <v>2712</v>
      </c>
      <c r="I22" s="57">
        <v>95</v>
      </c>
      <c r="J22" s="57">
        <v>205</v>
      </c>
      <c r="K22" s="57">
        <v>567</v>
      </c>
      <c r="L22" s="57">
        <v>1644</v>
      </c>
      <c r="M22" s="190">
        <f t="shared" si="0"/>
        <v>57</v>
      </c>
      <c r="N22" s="190">
        <f t="shared" si="0"/>
        <v>102</v>
      </c>
      <c r="O22" s="57">
        <v>989</v>
      </c>
      <c r="P22" s="57">
        <v>126</v>
      </c>
      <c r="Q22" s="22"/>
      <c r="R22" s="22"/>
    </row>
    <row r="23" spans="1:18" ht="12.75">
      <c r="A23" s="50">
        <v>17</v>
      </c>
      <c r="B23" s="51" t="s">
        <v>21</v>
      </c>
      <c r="C23" s="51">
        <v>119931</v>
      </c>
      <c r="D23" s="57">
        <v>33206</v>
      </c>
      <c r="E23" s="57">
        <v>25284</v>
      </c>
      <c r="F23" s="57">
        <v>19781</v>
      </c>
      <c r="G23" s="57">
        <v>7427</v>
      </c>
      <c r="H23" s="57">
        <v>7771</v>
      </c>
      <c r="I23" s="57">
        <v>2196</v>
      </c>
      <c r="J23" s="57">
        <v>922</v>
      </c>
      <c r="K23" s="57">
        <v>7991</v>
      </c>
      <c r="L23" s="57">
        <v>5806</v>
      </c>
      <c r="M23" s="190">
        <f t="shared" si="0"/>
        <v>7670</v>
      </c>
      <c r="N23" s="190">
        <f t="shared" si="0"/>
        <v>5282</v>
      </c>
      <c r="O23" s="51">
        <v>3894</v>
      </c>
      <c r="P23" s="51">
        <v>922</v>
      </c>
      <c r="Q23" s="6"/>
      <c r="R23" s="6"/>
    </row>
    <row r="24" spans="1:18" ht="12.75">
      <c r="A24" s="50">
        <v>18</v>
      </c>
      <c r="B24" s="51" t="s">
        <v>19</v>
      </c>
      <c r="C24" s="51">
        <v>7546</v>
      </c>
      <c r="D24" s="57">
        <v>997</v>
      </c>
      <c r="E24" s="57">
        <v>582</v>
      </c>
      <c r="F24" s="57">
        <v>918</v>
      </c>
      <c r="G24" s="57">
        <v>25</v>
      </c>
      <c r="H24" s="57">
        <v>549</v>
      </c>
      <c r="I24" s="57">
        <v>71</v>
      </c>
      <c r="J24" s="57">
        <v>191</v>
      </c>
      <c r="K24" s="57">
        <v>195</v>
      </c>
      <c r="L24" s="57">
        <v>140</v>
      </c>
      <c r="M24" s="190">
        <f t="shared" si="0"/>
        <v>291</v>
      </c>
      <c r="N24" s="190">
        <f t="shared" si="0"/>
        <v>38</v>
      </c>
      <c r="O24" s="51">
        <v>0</v>
      </c>
      <c r="P24" s="51">
        <v>0</v>
      </c>
      <c r="Q24" s="6"/>
      <c r="R24" s="6"/>
    </row>
    <row r="25" spans="1:18" ht="12.75">
      <c r="A25" s="50">
        <v>19</v>
      </c>
      <c r="B25" s="51" t="s">
        <v>124</v>
      </c>
      <c r="C25" s="51">
        <v>1063</v>
      </c>
      <c r="D25" s="57">
        <v>115</v>
      </c>
      <c r="E25" s="57">
        <v>784</v>
      </c>
      <c r="F25" s="57">
        <v>1546</v>
      </c>
      <c r="G25" s="57">
        <v>55</v>
      </c>
      <c r="H25" s="57">
        <v>179</v>
      </c>
      <c r="I25" s="57">
        <v>165</v>
      </c>
      <c r="J25" s="57">
        <v>180</v>
      </c>
      <c r="K25" s="57">
        <v>411</v>
      </c>
      <c r="L25" s="57">
        <v>804</v>
      </c>
      <c r="M25" s="190">
        <f t="shared" si="0"/>
        <v>153</v>
      </c>
      <c r="N25" s="190">
        <f t="shared" si="0"/>
        <v>383</v>
      </c>
      <c r="O25" s="51">
        <v>114</v>
      </c>
      <c r="P25" s="51">
        <v>55</v>
      </c>
      <c r="Q25" s="6"/>
      <c r="R25" s="6"/>
    </row>
    <row r="26" spans="1:18" s="165" customFormat="1" ht="14.25">
      <c r="A26" s="163"/>
      <c r="B26" s="128" t="s">
        <v>224</v>
      </c>
      <c r="C26" s="128">
        <f aca="true" t="shared" si="1" ref="C26:P26">SUM(C7:C25)</f>
        <v>1528070</v>
      </c>
      <c r="D26" s="164">
        <f t="shared" si="1"/>
        <v>489226</v>
      </c>
      <c r="E26" s="164">
        <f t="shared" si="1"/>
        <v>330221</v>
      </c>
      <c r="F26" s="164">
        <f t="shared" si="1"/>
        <v>247265</v>
      </c>
      <c r="G26" s="164">
        <f t="shared" si="1"/>
        <v>127064</v>
      </c>
      <c r="H26" s="164">
        <f t="shared" si="1"/>
        <v>85613</v>
      </c>
      <c r="I26" s="164">
        <f t="shared" si="1"/>
        <v>18388</v>
      </c>
      <c r="J26" s="164">
        <f t="shared" si="1"/>
        <v>19536</v>
      </c>
      <c r="K26" s="164">
        <f t="shared" si="1"/>
        <v>85732</v>
      </c>
      <c r="L26" s="164">
        <f t="shared" si="1"/>
        <v>78337</v>
      </c>
      <c r="M26" s="197">
        <f t="shared" si="1"/>
        <v>99037</v>
      </c>
      <c r="N26" s="197">
        <f t="shared" si="1"/>
        <v>63779</v>
      </c>
      <c r="O26" s="128">
        <f t="shared" si="1"/>
        <v>43973</v>
      </c>
      <c r="P26" s="128">
        <f t="shared" si="1"/>
        <v>23225</v>
      </c>
      <c r="Q26" s="167"/>
      <c r="R26" s="167"/>
    </row>
    <row r="27" spans="1:18" ht="12.75">
      <c r="A27" s="54">
        <v>20</v>
      </c>
      <c r="B27" s="51" t="s">
        <v>23</v>
      </c>
      <c r="C27" s="51">
        <v>0</v>
      </c>
      <c r="D27" s="57">
        <v>0</v>
      </c>
      <c r="E27" s="57">
        <v>85</v>
      </c>
      <c r="F27" s="57">
        <v>185</v>
      </c>
      <c r="G27" s="57">
        <v>0</v>
      </c>
      <c r="H27" s="57">
        <v>0</v>
      </c>
      <c r="I27" s="57">
        <v>0</v>
      </c>
      <c r="J27" s="57">
        <v>0</v>
      </c>
      <c r="K27" s="57">
        <v>10</v>
      </c>
      <c r="L27" s="57">
        <v>15</v>
      </c>
      <c r="M27" s="190">
        <f aca="true" t="shared" si="2" ref="M27:M33">E27-G27-I27-K27</f>
        <v>75</v>
      </c>
      <c r="N27" s="190">
        <f aca="true" t="shared" si="3" ref="N27:N33">F27-H27-J27-L27</f>
        <v>170</v>
      </c>
      <c r="O27" s="51">
        <v>4</v>
      </c>
      <c r="P27" s="51">
        <v>6</v>
      </c>
      <c r="Q27" s="6"/>
      <c r="R27" s="6"/>
    </row>
    <row r="28" spans="1:18" ht="12.75">
      <c r="A28" s="54">
        <v>21</v>
      </c>
      <c r="B28" s="51" t="s">
        <v>269</v>
      </c>
      <c r="C28" s="51">
        <v>2071</v>
      </c>
      <c r="D28" s="57">
        <v>1240</v>
      </c>
      <c r="E28" s="57">
        <v>108</v>
      </c>
      <c r="F28" s="57">
        <v>543</v>
      </c>
      <c r="G28" s="57">
        <v>2</v>
      </c>
      <c r="H28" s="57">
        <v>10</v>
      </c>
      <c r="I28" s="57">
        <v>9</v>
      </c>
      <c r="J28" s="57">
        <v>121</v>
      </c>
      <c r="K28" s="57">
        <v>53</v>
      </c>
      <c r="L28" s="57">
        <v>360</v>
      </c>
      <c r="M28" s="190">
        <f t="shared" si="2"/>
        <v>44</v>
      </c>
      <c r="N28" s="190">
        <f t="shared" si="3"/>
        <v>52</v>
      </c>
      <c r="O28" s="51">
        <v>2</v>
      </c>
      <c r="P28" s="51">
        <v>5</v>
      </c>
      <c r="Q28" s="6"/>
      <c r="R28" s="6"/>
    </row>
    <row r="29" spans="1:18" ht="12.75">
      <c r="A29" s="54">
        <v>22</v>
      </c>
      <c r="B29" s="51" t="s">
        <v>169</v>
      </c>
      <c r="C29" s="51">
        <v>2369</v>
      </c>
      <c r="D29" s="57">
        <v>1004</v>
      </c>
      <c r="E29" s="57">
        <v>2806</v>
      </c>
      <c r="F29" s="57">
        <v>26320</v>
      </c>
      <c r="G29" s="57">
        <v>0</v>
      </c>
      <c r="H29" s="57">
        <v>0</v>
      </c>
      <c r="I29" s="57">
        <v>371</v>
      </c>
      <c r="J29" s="57">
        <v>964</v>
      </c>
      <c r="K29" s="57">
        <v>2236</v>
      </c>
      <c r="L29" s="57">
        <v>3999</v>
      </c>
      <c r="M29" s="190">
        <f t="shared" si="2"/>
        <v>199</v>
      </c>
      <c r="N29" s="190">
        <f t="shared" si="3"/>
        <v>21357</v>
      </c>
      <c r="O29" s="51">
        <v>234</v>
      </c>
      <c r="P29" s="51">
        <v>475</v>
      </c>
      <c r="Q29" s="6"/>
      <c r="R29" s="6"/>
    </row>
    <row r="30" spans="1:18" ht="12.75">
      <c r="A30" s="54">
        <v>23</v>
      </c>
      <c r="B30" s="51" t="s">
        <v>22</v>
      </c>
      <c r="C30" s="51">
        <v>2706</v>
      </c>
      <c r="D30" s="57">
        <v>2062</v>
      </c>
      <c r="E30" s="57">
        <v>116</v>
      </c>
      <c r="F30" s="57">
        <v>332</v>
      </c>
      <c r="G30" s="57">
        <v>0</v>
      </c>
      <c r="H30" s="57">
        <v>0</v>
      </c>
      <c r="I30" s="57">
        <v>13</v>
      </c>
      <c r="J30" s="57">
        <v>67</v>
      </c>
      <c r="K30" s="57">
        <v>86</v>
      </c>
      <c r="L30" s="57">
        <v>236</v>
      </c>
      <c r="M30" s="190">
        <f t="shared" si="2"/>
        <v>17</v>
      </c>
      <c r="N30" s="190">
        <f t="shared" si="3"/>
        <v>29</v>
      </c>
      <c r="O30" s="51">
        <v>22</v>
      </c>
      <c r="P30" s="51">
        <v>13</v>
      </c>
      <c r="Q30" s="6"/>
      <c r="R30" s="6"/>
    </row>
    <row r="31" spans="1:18" s="103" customFormat="1" ht="12.75">
      <c r="A31" s="54">
        <v>24</v>
      </c>
      <c r="B31" s="57" t="s">
        <v>141</v>
      </c>
      <c r="C31" s="57">
        <v>11570</v>
      </c>
      <c r="D31" s="57">
        <v>5824</v>
      </c>
      <c r="E31" s="57">
        <v>658</v>
      </c>
      <c r="F31" s="57">
        <v>1841</v>
      </c>
      <c r="G31" s="57">
        <v>28</v>
      </c>
      <c r="H31" s="57">
        <v>30</v>
      </c>
      <c r="I31" s="57">
        <v>13</v>
      </c>
      <c r="J31" s="57">
        <v>69</v>
      </c>
      <c r="K31" s="57">
        <v>369</v>
      </c>
      <c r="L31" s="57">
        <v>1205</v>
      </c>
      <c r="M31" s="190">
        <f t="shared" si="2"/>
        <v>248</v>
      </c>
      <c r="N31" s="190">
        <f t="shared" si="3"/>
        <v>537</v>
      </c>
      <c r="O31" s="57">
        <v>68</v>
      </c>
      <c r="P31" s="57">
        <v>105</v>
      </c>
      <c r="Q31" s="22"/>
      <c r="R31" s="22"/>
    </row>
    <row r="32" spans="1:18" ht="12.75">
      <c r="A32" s="54">
        <v>25</v>
      </c>
      <c r="B32" s="51" t="s">
        <v>18</v>
      </c>
      <c r="C32" s="51">
        <v>463552</v>
      </c>
      <c r="D32" s="57">
        <v>96315</v>
      </c>
      <c r="E32" s="57">
        <v>83108</v>
      </c>
      <c r="F32" s="57">
        <v>107259</v>
      </c>
      <c r="G32" s="57">
        <v>32494</v>
      </c>
      <c r="H32" s="57">
        <v>27377</v>
      </c>
      <c r="I32" s="57">
        <v>6957</v>
      </c>
      <c r="J32" s="57">
        <v>3796</v>
      </c>
      <c r="K32" s="57">
        <v>13369</v>
      </c>
      <c r="L32" s="57">
        <v>42324</v>
      </c>
      <c r="M32" s="190">
        <f t="shared" si="2"/>
        <v>30288</v>
      </c>
      <c r="N32" s="190">
        <f t="shared" si="3"/>
        <v>33762</v>
      </c>
      <c r="O32" s="51">
        <v>6812</v>
      </c>
      <c r="P32" s="51">
        <v>4033</v>
      </c>
      <c r="Q32" s="6"/>
      <c r="R32" s="6"/>
    </row>
    <row r="33" spans="1:18" ht="12.75">
      <c r="A33" s="54">
        <v>26</v>
      </c>
      <c r="B33" s="51" t="s">
        <v>104</v>
      </c>
      <c r="C33" s="51">
        <v>3894</v>
      </c>
      <c r="D33" s="57">
        <v>47304</v>
      </c>
      <c r="E33" s="57">
        <v>6104</v>
      </c>
      <c r="F33" s="57">
        <v>46913</v>
      </c>
      <c r="G33" s="57">
        <v>2257</v>
      </c>
      <c r="H33" s="57">
        <v>28485</v>
      </c>
      <c r="I33" s="57">
        <v>1532</v>
      </c>
      <c r="J33" s="57">
        <v>9091</v>
      </c>
      <c r="K33" s="57">
        <v>1667</v>
      </c>
      <c r="L33" s="57">
        <v>8698</v>
      </c>
      <c r="M33" s="190">
        <f t="shared" si="2"/>
        <v>648</v>
      </c>
      <c r="N33" s="190">
        <f t="shared" si="3"/>
        <v>639</v>
      </c>
      <c r="O33" s="51">
        <v>584</v>
      </c>
      <c r="P33" s="51">
        <v>682</v>
      </c>
      <c r="Q33" s="6"/>
      <c r="R33" s="6" t="s">
        <v>416</v>
      </c>
    </row>
    <row r="34" spans="1:18" s="165" customFormat="1" ht="14.25">
      <c r="A34" s="163"/>
      <c r="B34" s="128" t="s">
        <v>226</v>
      </c>
      <c r="C34" s="128">
        <f aca="true" t="shared" si="4" ref="C34:P34">SUM(C27:C33)</f>
        <v>486162</v>
      </c>
      <c r="D34" s="164">
        <f t="shared" si="4"/>
        <v>153749</v>
      </c>
      <c r="E34" s="164">
        <f t="shared" si="4"/>
        <v>92985</v>
      </c>
      <c r="F34" s="164">
        <f t="shared" si="4"/>
        <v>183393</v>
      </c>
      <c r="G34" s="164">
        <f t="shared" si="4"/>
        <v>34781</v>
      </c>
      <c r="H34" s="164">
        <f t="shared" si="4"/>
        <v>55902</v>
      </c>
      <c r="I34" s="164">
        <f t="shared" si="4"/>
        <v>8895</v>
      </c>
      <c r="J34" s="164">
        <f t="shared" si="4"/>
        <v>14108</v>
      </c>
      <c r="K34" s="164">
        <f t="shared" si="4"/>
        <v>17790</v>
      </c>
      <c r="L34" s="164">
        <f t="shared" si="4"/>
        <v>56837</v>
      </c>
      <c r="M34" s="197">
        <f t="shared" si="4"/>
        <v>31519</v>
      </c>
      <c r="N34" s="197">
        <f t="shared" si="4"/>
        <v>56546</v>
      </c>
      <c r="O34" s="128">
        <f t="shared" si="4"/>
        <v>7726</v>
      </c>
      <c r="P34" s="128">
        <f t="shared" si="4"/>
        <v>5319</v>
      </c>
      <c r="Q34" s="167"/>
      <c r="R34" s="167"/>
    </row>
    <row r="35" spans="1:18" ht="12.75">
      <c r="A35" s="54">
        <v>27</v>
      </c>
      <c r="B35" s="51" t="s">
        <v>163</v>
      </c>
      <c r="C35" s="51">
        <v>39004</v>
      </c>
      <c r="D35" s="57">
        <v>13895</v>
      </c>
      <c r="E35" s="57">
        <v>1089</v>
      </c>
      <c r="F35" s="57">
        <v>1234</v>
      </c>
      <c r="G35" s="57">
        <v>142</v>
      </c>
      <c r="H35" s="57">
        <v>102</v>
      </c>
      <c r="I35" s="57">
        <v>16</v>
      </c>
      <c r="J35" s="57">
        <v>5</v>
      </c>
      <c r="K35" s="57">
        <v>327</v>
      </c>
      <c r="L35" s="57">
        <v>423</v>
      </c>
      <c r="M35" s="190">
        <f>E35-G35-I35-K35</f>
        <v>604</v>
      </c>
      <c r="N35" s="190">
        <f>F35-H35-J35-L35</f>
        <v>704</v>
      </c>
      <c r="O35" s="51">
        <v>61</v>
      </c>
      <c r="P35" s="51">
        <v>46</v>
      </c>
      <c r="Q35" s="6"/>
      <c r="R35" s="6"/>
    </row>
    <row r="36" spans="1:18" s="103" customFormat="1" ht="12.75">
      <c r="A36" s="54">
        <v>28</v>
      </c>
      <c r="B36" s="57" t="s">
        <v>231</v>
      </c>
      <c r="C36" s="57">
        <v>0</v>
      </c>
      <c r="D36" s="57">
        <v>0</v>
      </c>
      <c r="E36" s="57">
        <v>6174</v>
      </c>
      <c r="F36" s="57">
        <v>7286</v>
      </c>
      <c r="G36" s="57">
        <v>102</v>
      </c>
      <c r="H36" s="57">
        <v>278</v>
      </c>
      <c r="I36" s="57">
        <v>623</v>
      </c>
      <c r="J36" s="57">
        <v>2670</v>
      </c>
      <c r="K36" s="57">
        <v>592</v>
      </c>
      <c r="L36" s="57">
        <v>2496</v>
      </c>
      <c r="M36" s="190">
        <f aca="true" t="shared" si="5" ref="M36:M47">E36-G36-I36-K36</f>
        <v>4857</v>
      </c>
      <c r="N36" s="190">
        <f aca="true" t="shared" si="6" ref="N36:N47">F36-H36-J36-L36</f>
        <v>1842</v>
      </c>
      <c r="O36" s="57">
        <v>0</v>
      </c>
      <c r="P36" s="57">
        <v>0</v>
      </c>
      <c r="Q36" s="22"/>
      <c r="R36" s="22"/>
    </row>
    <row r="37" spans="1:18" ht="12.75">
      <c r="A37" s="54">
        <v>29</v>
      </c>
      <c r="B37" s="51" t="s">
        <v>218</v>
      </c>
      <c r="C37" s="51">
        <v>0</v>
      </c>
      <c r="D37" s="57">
        <v>0</v>
      </c>
      <c r="E37" s="57">
        <v>26921</v>
      </c>
      <c r="F37" s="57">
        <v>17932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190">
        <f t="shared" si="5"/>
        <v>26921</v>
      </c>
      <c r="N37" s="190">
        <f t="shared" si="6"/>
        <v>17932</v>
      </c>
      <c r="O37" s="51">
        <v>0</v>
      </c>
      <c r="P37" s="51">
        <v>0</v>
      </c>
      <c r="Q37" s="6"/>
      <c r="R37" s="6"/>
    </row>
    <row r="38" spans="1:18" ht="12.75">
      <c r="A38" s="54">
        <v>30</v>
      </c>
      <c r="B38" s="51" t="s">
        <v>236</v>
      </c>
      <c r="C38" s="51">
        <v>21450</v>
      </c>
      <c r="D38" s="57">
        <v>6082</v>
      </c>
      <c r="E38" s="57">
        <v>227</v>
      </c>
      <c r="F38" s="57">
        <v>559</v>
      </c>
      <c r="G38" s="57">
        <v>6</v>
      </c>
      <c r="H38" s="57">
        <v>92</v>
      </c>
      <c r="I38" s="57">
        <v>35</v>
      </c>
      <c r="J38" s="57">
        <v>49</v>
      </c>
      <c r="K38" s="57">
        <v>60</v>
      </c>
      <c r="L38" s="57">
        <v>72</v>
      </c>
      <c r="M38" s="190">
        <f t="shared" si="5"/>
        <v>126</v>
      </c>
      <c r="N38" s="190">
        <f t="shared" si="6"/>
        <v>346</v>
      </c>
      <c r="O38" s="51">
        <v>69</v>
      </c>
      <c r="P38" s="51">
        <v>53</v>
      </c>
      <c r="Q38" s="6"/>
      <c r="R38" s="6"/>
    </row>
    <row r="39" spans="1:18" s="103" customFormat="1" ht="12.75">
      <c r="A39" s="54">
        <v>31</v>
      </c>
      <c r="B39" s="57" t="s">
        <v>219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190">
        <f t="shared" si="5"/>
        <v>0</v>
      </c>
      <c r="N39" s="190">
        <f t="shared" si="6"/>
        <v>0</v>
      </c>
      <c r="O39" s="57">
        <v>0</v>
      </c>
      <c r="P39" s="57">
        <v>0</v>
      </c>
      <c r="Q39" s="22"/>
      <c r="R39" s="22"/>
    </row>
    <row r="40" spans="1:18" ht="12.75">
      <c r="A40" s="54">
        <v>32</v>
      </c>
      <c r="B40" s="51" t="s">
        <v>220</v>
      </c>
      <c r="C40" s="51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190">
        <f t="shared" si="5"/>
        <v>0</v>
      </c>
      <c r="N40" s="190">
        <f t="shared" si="6"/>
        <v>0</v>
      </c>
      <c r="O40" s="51">
        <v>0</v>
      </c>
      <c r="P40" s="51">
        <v>0</v>
      </c>
      <c r="Q40" s="6"/>
      <c r="R40" s="6"/>
    </row>
    <row r="41" spans="1:18" ht="12.75">
      <c r="A41" s="524">
        <v>33</v>
      </c>
      <c r="B41" s="113" t="s">
        <v>363</v>
      </c>
      <c r="C41" s="51">
        <v>158</v>
      </c>
      <c r="D41" s="57">
        <v>11</v>
      </c>
      <c r="E41" s="57">
        <v>91</v>
      </c>
      <c r="F41" s="57">
        <v>5006</v>
      </c>
      <c r="G41" s="57">
        <v>6</v>
      </c>
      <c r="H41" s="57">
        <v>1</v>
      </c>
      <c r="I41" s="57">
        <v>0</v>
      </c>
      <c r="J41" s="57">
        <v>0</v>
      </c>
      <c r="K41" s="57">
        <v>0</v>
      </c>
      <c r="L41" s="57">
        <v>0</v>
      </c>
      <c r="M41" s="190">
        <f>E41-G41-I41-K41</f>
        <v>85</v>
      </c>
      <c r="N41" s="190">
        <f>F41-H41-J41-L41</f>
        <v>5005</v>
      </c>
      <c r="O41" s="51">
        <v>1</v>
      </c>
      <c r="P41" s="51">
        <v>5</v>
      </c>
      <c r="Q41" s="6"/>
      <c r="R41" s="6"/>
    </row>
    <row r="42" spans="1:18" s="103" customFormat="1" ht="12.75">
      <c r="A42" s="54">
        <v>34</v>
      </c>
      <c r="B42" s="57" t="s">
        <v>242</v>
      </c>
      <c r="C42" s="57">
        <v>1750</v>
      </c>
      <c r="D42" s="57">
        <v>302</v>
      </c>
      <c r="E42" s="57">
        <v>8</v>
      </c>
      <c r="F42" s="57">
        <v>4</v>
      </c>
      <c r="G42" s="57">
        <v>0</v>
      </c>
      <c r="H42" s="57">
        <v>0</v>
      </c>
      <c r="I42" s="57">
        <v>0</v>
      </c>
      <c r="J42" s="57">
        <v>0</v>
      </c>
      <c r="K42" s="57">
        <v>8</v>
      </c>
      <c r="L42" s="57">
        <v>4</v>
      </c>
      <c r="M42" s="190">
        <f t="shared" si="5"/>
        <v>0</v>
      </c>
      <c r="N42" s="190">
        <f t="shared" si="6"/>
        <v>0</v>
      </c>
      <c r="O42" s="57">
        <v>1</v>
      </c>
      <c r="P42" s="57">
        <v>1</v>
      </c>
      <c r="Q42" s="22"/>
      <c r="R42" s="22"/>
    </row>
    <row r="43" spans="1:18" ht="12.75">
      <c r="A43" s="54">
        <v>35</v>
      </c>
      <c r="B43" s="51" t="s">
        <v>256</v>
      </c>
      <c r="C43" s="51">
        <v>4131</v>
      </c>
      <c r="D43" s="57">
        <v>3518</v>
      </c>
      <c r="E43" s="57">
        <v>800</v>
      </c>
      <c r="F43" s="57">
        <v>947</v>
      </c>
      <c r="G43" s="57">
        <v>0</v>
      </c>
      <c r="H43" s="57">
        <v>0</v>
      </c>
      <c r="I43" s="57">
        <v>1</v>
      </c>
      <c r="J43" s="57">
        <v>0</v>
      </c>
      <c r="K43" s="57">
        <v>180</v>
      </c>
      <c r="L43" s="57">
        <v>756</v>
      </c>
      <c r="M43" s="190">
        <f t="shared" si="5"/>
        <v>619</v>
      </c>
      <c r="N43" s="190">
        <f t="shared" si="6"/>
        <v>191</v>
      </c>
      <c r="O43" s="51">
        <v>17</v>
      </c>
      <c r="P43" s="51">
        <v>8</v>
      </c>
      <c r="Q43" s="6"/>
      <c r="R43" s="6"/>
    </row>
    <row r="44" spans="1:18" ht="12.75">
      <c r="A44" s="54">
        <v>36</v>
      </c>
      <c r="B44" s="51" t="s">
        <v>24</v>
      </c>
      <c r="C44" s="51">
        <v>1743</v>
      </c>
      <c r="D44" s="57">
        <v>398</v>
      </c>
      <c r="E44" s="57">
        <v>133</v>
      </c>
      <c r="F44" s="57">
        <v>274</v>
      </c>
      <c r="G44" s="57">
        <v>0</v>
      </c>
      <c r="H44" s="57">
        <v>0</v>
      </c>
      <c r="I44" s="57">
        <v>3</v>
      </c>
      <c r="J44" s="57">
        <v>24</v>
      </c>
      <c r="K44" s="57">
        <v>64</v>
      </c>
      <c r="L44" s="57">
        <v>146</v>
      </c>
      <c r="M44" s="190">
        <f t="shared" si="5"/>
        <v>66</v>
      </c>
      <c r="N44" s="190">
        <f t="shared" si="6"/>
        <v>104</v>
      </c>
      <c r="O44" s="51">
        <v>30</v>
      </c>
      <c r="P44" s="51">
        <v>16</v>
      </c>
      <c r="Q44" s="6"/>
      <c r="R44" s="6"/>
    </row>
    <row r="45" spans="1:18" ht="12.75">
      <c r="A45" s="54">
        <v>37</v>
      </c>
      <c r="B45" s="51" t="s">
        <v>223</v>
      </c>
      <c r="C45" s="51">
        <v>979</v>
      </c>
      <c r="D45" s="57">
        <v>613</v>
      </c>
      <c r="E45" s="57">
        <v>2</v>
      </c>
      <c r="F45" s="57">
        <v>6</v>
      </c>
      <c r="G45" s="57">
        <v>0</v>
      </c>
      <c r="H45" s="57">
        <v>0</v>
      </c>
      <c r="I45" s="57">
        <v>0</v>
      </c>
      <c r="J45" s="57">
        <v>0</v>
      </c>
      <c r="K45" s="57">
        <v>2</v>
      </c>
      <c r="L45" s="57">
        <v>6</v>
      </c>
      <c r="M45" s="190">
        <f t="shared" si="5"/>
        <v>0</v>
      </c>
      <c r="N45" s="190">
        <f t="shared" si="6"/>
        <v>0</v>
      </c>
      <c r="O45" s="51">
        <v>0</v>
      </c>
      <c r="P45" s="51">
        <v>0</v>
      </c>
      <c r="Q45" s="6"/>
      <c r="R45" s="6"/>
    </row>
    <row r="46" spans="1:18" ht="12.75">
      <c r="A46" s="54">
        <v>38</v>
      </c>
      <c r="B46" s="51" t="s">
        <v>364</v>
      </c>
      <c r="C46" s="51">
        <v>2354</v>
      </c>
      <c r="D46" s="57">
        <v>973</v>
      </c>
      <c r="E46" s="57">
        <v>66</v>
      </c>
      <c r="F46" s="57">
        <v>102</v>
      </c>
      <c r="G46" s="57">
        <v>10</v>
      </c>
      <c r="H46" s="57">
        <v>7</v>
      </c>
      <c r="I46" s="57">
        <v>0</v>
      </c>
      <c r="J46" s="57">
        <v>0</v>
      </c>
      <c r="K46" s="57">
        <v>5</v>
      </c>
      <c r="L46" s="57">
        <v>20</v>
      </c>
      <c r="M46" s="190">
        <f>E46-G46-I46-K46</f>
        <v>51</v>
      </c>
      <c r="N46" s="190">
        <f>F46-H46-J46-L46</f>
        <v>75</v>
      </c>
      <c r="O46" s="51">
        <v>0</v>
      </c>
      <c r="P46" s="51">
        <v>0</v>
      </c>
      <c r="Q46" s="6"/>
      <c r="R46" s="6"/>
    </row>
    <row r="47" spans="1:18" ht="12.75">
      <c r="A47" s="54">
        <v>39</v>
      </c>
      <c r="B47" s="51" t="s">
        <v>366</v>
      </c>
      <c r="C47" s="51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190">
        <f t="shared" si="5"/>
        <v>0</v>
      </c>
      <c r="N47" s="190">
        <f t="shared" si="6"/>
        <v>0</v>
      </c>
      <c r="O47" s="51">
        <v>0</v>
      </c>
      <c r="P47" s="51">
        <v>0</v>
      </c>
      <c r="Q47" s="6"/>
      <c r="R47" s="6"/>
    </row>
    <row r="48" spans="1:18" s="165" customFormat="1" ht="14.25">
      <c r="A48" s="163"/>
      <c r="B48" s="128" t="s">
        <v>225</v>
      </c>
      <c r="C48" s="128">
        <f aca="true" t="shared" si="7" ref="C48:P48">SUM(C35:C47)</f>
        <v>71569</v>
      </c>
      <c r="D48" s="164">
        <f t="shared" si="7"/>
        <v>25792</v>
      </c>
      <c r="E48" s="164">
        <f t="shared" si="7"/>
        <v>35511</v>
      </c>
      <c r="F48" s="164">
        <f t="shared" si="7"/>
        <v>33350</v>
      </c>
      <c r="G48" s="164">
        <f t="shared" si="7"/>
        <v>266</v>
      </c>
      <c r="H48" s="164">
        <f t="shared" si="7"/>
        <v>480</v>
      </c>
      <c r="I48" s="164">
        <f t="shared" si="7"/>
        <v>678</v>
      </c>
      <c r="J48" s="164">
        <f t="shared" si="7"/>
        <v>2748</v>
      </c>
      <c r="K48" s="164">
        <f t="shared" si="7"/>
        <v>1238</v>
      </c>
      <c r="L48" s="164">
        <f t="shared" si="7"/>
        <v>3923</v>
      </c>
      <c r="M48" s="197">
        <f t="shared" si="7"/>
        <v>33329</v>
      </c>
      <c r="N48" s="197">
        <f t="shared" si="7"/>
        <v>26199</v>
      </c>
      <c r="O48" s="128">
        <f t="shared" si="7"/>
        <v>179</v>
      </c>
      <c r="P48" s="128">
        <f t="shared" si="7"/>
        <v>129</v>
      </c>
      <c r="Q48" s="167"/>
      <c r="R48" s="167"/>
    </row>
    <row r="49" spans="1:16" s="165" customFormat="1" ht="14.25">
      <c r="A49" s="163"/>
      <c r="B49" s="87" t="s">
        <v>123</v>
      </c>
      <c r="C49" s="128">
        <f aca="true" t="shared" si="8" ref="C49:P49">C26+C34+C48</f>
        <v>2085801</v>
      </c>
      <c r="D49" s="164">
        <f t="shared" si="8"/>
        <v>668767</v>
      </c>
      <c r="E49" s="164">
        <f t="shared" si="8"/>
        <v>458717</v>
      </c>
      <c r="F49" s="164">
        <f t="shared" si="8"/>
        <v>464008</v>
      </c>
      <c r="G49" s="164">
        <f t="shared" si="8"/>
        <v>162111</v>
      </c>
      <c r="H49" s="164">
        <f t="shared" si="8"/>
        <v>141995</v>
      </c>
      <c r="I49" s="164">
        <f t="shared" si="8"/>
        <v>27961</v>
      </c>
      <c r="J49" s="164">
        <f t="shared" si="8"/>
        <v>36392</v>
      </c>
      <c r="K49" s="164">
        <f t="shared" si="8"/>
        <v>104760</v>
      </c>
      <c r="L49" s="164">
        <f t="shared" si="8"/>
        <v>139097</v>
      </c>
      <c r="M49" s="197">
        <f t="shared" si="8"/>
        <v>163885</v>
      </c>
      <c r="N49" s="197">
        <f t="shared" si="8"/>
        <v>146524</v>
      </c>
      <c r="O49" s="128">
        <f t="shared" si="8"/>
        <v>51878</v>
      </c>
      <c r="P49" s="128">
        <f t="shared" si="8"/>
        <v>28673</v>
      </c>
    </row>
    <row r="50" spans="1:16" ht="12.75">
      <c r="A50" s="50"/>
      <c r="B50" s="51"/>
      <c r="C50" s="51"/>
      <c r="D50" s="57"/>
      <c r="E50" s="57"/>
      <c r="F50" s="57"/>
      <c r="G50" s="58"/>
      <c r="H50" s="58"/>
      <c r="I50" s="58"/>
      <c r="J50" s="58"/>
      <c r="K50" s="57"/>
      <c r="L50" s="57"/>
      <c r="M50" s="190"/>
      <c r="N50" s="190"/>
      <c r="O50" s="51"/>
      <c r="P50" s="51"/>
    </row>
    <row r="51" spans="1:16" ht="12.75">
      <c r="A51" s="50"/>
      <c r="B51" s="51"/>
      <c r="C51" s="51"/>
      <c r="D51" s="57"/>
      <c r="E51" s="57"/>
      <c r="F51" s="57"/>
      <c r="G51" s="58"/>
      <c r="H51" s="58"/>
      <c r="I51" s="58"/>
      <c r="J51" s="58"/>
      <c r="K51" s="57"/>
      <c r="L51" s="57"/>
      <c r="M51" s="190"/>
      <c r="N51" s="190"/>
      <c r="O51" s="51"/>
      <c r="P51" s="51"/>
    </row>
    <row r="52" spans="1:16" ht="12.75">
      <c r="A52" s="50"/>
      <c r="B52" s="51"/>
      <c r="C52" s="51"/>
      <c r="D52" s="57"/>
      <c r="E52" s="57"/>
      <c r="F52" s="57"/>
      <c r="G52" s="58"/>
      <c r="H52" s="58"/>
      <c r="I52" s="58"/>
      <c r="J52" s="58"/>
      <c r="K52" s="57"/>
      <c r="L52" s="57"/>
      <c r="M52" s="190"/>
      <c r="N52" s="190"/>
      <c r="O52" s="51"/>
      <c r="P52" s="51"/>
    </row>
    <row r="53" spans="1:16" ht="12.75">
      <c r="A53" s="52" t="s">
        <v>4</v>
      </c>
      <c r="B53" s="52" t="s">
        <v>5</v>
      </c>
      <c r="C53" s="744"/>
      <c r="D53" s="744"/>
      <c r="E53" s="744"/>
      <c r="F53" s="744"/>
      <c r="G53" s="662" t="s">
        <v>212</v>
      </c>
      <c r="H53" s="662"/>
      <c r="I53" s="662"/>
      <c r="J53" s="662"/>
      <c r="K53" s="662"/>
      <c r="L53" s="662"/>
      <c r="M53" s="662"/>
      <c r="N53" s="662"/>
      <c r="O53" s="51"/>
      <c r="P53" s="51"/>
    </row>
    <row r="54" spans="1:16" ht="12.75">
      <c r="A54" s="52"/>
      <c r="B54" s="52"/>
      <c r="C54" s="744" t="s">
        <v>45</v>
      </c>
      <c r="D54" s="744"/>
      <c r="E54" s="662" t="s">
        <v>46</v>
      </c>
      <c r="F54" s="662"/>
      <c r="G54" s="662" t="s">
        <v>120</v>
      </c>
      <c r="H54" s="662"/>
      <c r="I54" s="662" t="s">
        <v>370</v>
      </c>
      <c r="J54" s="662"/>
      <c r="K54" s="662" t="s">
        <v>62</v>
      </c>
      <c r="L54" s="662"/>
      <c r="M54" s="661" t="s">
        <v>121</v>
      </c>
      <c r="N54" s="661"/>
      <c r="O54" s="744" t="s">
        <v>200</v>
      </c>
      <c r="P54" s="744"/>
    </row>
    <row r="55" spans="1:16" ht="12.75">
      <c r="A55" s="129"/>
      <c r="B55" s="129"/>
      <c r="C55" s="82" t="s">
        <v>57</v>
      </c>
      <c r="D55" s="130" t="s">
        <v>63</v>
      </c>
      <c r="E55" s="130" t="s">
        <v>57</v>
      </c>
      <c r="F55" s="130" t="s">
        <v>63</v>
      </c>
      <c r="G55" s="130" t="s">
        <v>57</v>
      </c>
      <c r="H55" s="130" t="s">
        <v>63</v>
      </c>
      <c r="I55" s="130" t="s">
        <v>57</v>
      </c>
      <c r="J55" s="130" t="s">
        <v>63</v>
      </c>
      <c r="K55" s="130" t="s">
        <v>57</v>
      </c>
      <c r="L55" s="130" t="s">
        <v>63</v>
      </c>
      <c r="M55" s="252" t="s">
        <v>57</v>
      </c>
      <c r="N55" s="252" t="s">
        <v>63</v>
      </c>
      <c r="O55" s="51"/>
      <c r="P55" s="51"/>
    </row>
    <row r="56" spans="1:18" ht="12.75">
      <c r="A56" s="54">
        <v>40</v>
      </c>
      <c r="B56" s="57" t="s">
        <v>78</v>
      </c>
      <c r="C56" s="57">
        <v>71250</v>
      </c>
      <c r="D56" s="57">
        <v>11500</v>
      </c>
      <c r="E56" s="190">
        <v>6762</v>
      </c>
      <c r="F56" s="190">
        <v>3387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190">
        <f aca="true" t="shared" si="9" ref="M56:M63">E56-G56-I56-K56</f>
        <v>6762</v>
      </c>
      <c r="N56" s="190">
        <f aca="true" t="shared" si="10" ref="N56:N63">F56-H56-J56-L56</f>
        <v>3387</v>
      </c>
      <c r="O56" s="51">
        <v>0</v>
      </c>
      <c r="P56" s="51">
        <v>0</v>
      </c>
      <c r="Q56" s="6"/>
      <c r="R56" s="6"/>
    </row>
    <row r="57" spans="1:18" ht="12.75">
      <c r="A57" s="54">
        <v>41</v>
      </c>
      <c r="B57" s="57" t="s">
        <v>278</v>
      </c>
      <c r="C57" s="51">
        <v>154071</v>
      </c>
      <c r="D57" s="57">
        <v>28128</v>
      </c>
      <c r="E57" s="57">
        <v>36648</v>
      </c>
      <c r="F57" s="57">
        <v>14308</v>
      </c>
      <c r="G57" s="57">
        <v>20227</v>
      </c>
      <c r="H57" s="57">
        <v>8504</v>
      </c>
      <c r="I57" s="57">
        <v>9226</v>
      </c>
      <c r="J57" s="57">
        <v>2482</v>
      </c>
      <c r="K57" s="57">
        <v>2544</v>
      </c>
      <c r="L57" s="57">
        <v>1390</v>
      </c>
      <c r="M57" s="190">
        <f t="shared" si="9"/>
        <v>4651</v>
      </c>
      <c r="N57" s="190">
        <f t="shared" si="10"/>
        <v>1932</v>
      </c>
      <c r="O57" s="51">
        <v>995</v>
      </c>
      <c r="P57" s="51">
        <v>281</v>
      </c>
      <c r="Q57" s="6"/>
      <c r="R57" s="6"/>
    </row>
    <row r="58" spans="1:18" ht="12.75">
      <c r="A58" s="54">
        <v>42</v>
      </c>
      <c r="B58" s="57" t="s">
        <v>30</v>
      </c>
      <c r="C58" s="51">
        <v>10774</v>
      </c>
      <c r="D58" s="57">
        <v>8807</v>
      </c>
      <c r="E58" s="57">
        <v>333</v>
      </c>
      <c r="F58" s="57">
        <v>384</v>
      </c>
      <c r="G58" s="57">
        <v>198</v>
      </c>
      <c r="H58" s="57">
        <v>165</v>
      </c>
      <c r="I58" s="57">
        <v>12</v>
      </c>
      <c r="J58" s="57">
        <v>4</v>
      </c>
      <c r="K58" s="57">
        <v>69</v>
      </c>
      <c r="L58" s="57">
        <v>64</v>
      </c>
      <c r="M58" s="190">
        <f t="shared" si="9"/>
        <v>54</v>
      </c>
      <c r="N58" s="190">
        <f t="shared" si="10"/>
        <v>151</v>
      </c>
      <c r="O58" s="51">
        <v>77</v>
      </c>
      <c r="P58" s="51">
        <v>97</v>
      </c>
      <c r="Q58" s="6"/>
      <c r="R58" s="6"/>
    </row>
    <row r="59" spans="1:18" ht="12.75">
      <c r="A59" s="54">
        <v>43</v>
      </c>
      <c r="B59" s="57" t="s">
        <v>234</v>
      </c>
      <c r="C59" s="51">
        <v>91652</v>
      </c>
      <c r="D59" s="57">
        <v>16528</v>
      </c>
      <c r="E59" s="57">
        <v>21812</v>
      </c>
      <c r="F59" s="57">
        <v>11255</v>
      </c>
      <c r="G59" s="57">
        <v>13770</v>
      </c>
      <c r="H59" s="57">
        <v>6993</v>
      </c>
      <c r="I59" s="57">
        <v>548</v>
      </c>
      <c r="J59" s="57">
        <v>219</v>
      </c>
      <c r="K59" s="57">
        <v>2926</v>
      </c>
      <c r="L59" s="57">
        <v>1023</v>
      </c>
      <c r="M59" s="190">
        <f t="shared" si="9"/>
        <v>4568</v>
      </c>
      <c r="N59" s="190">
        <f t="shared" si="10"/>
        <v>3020</v>
      </c>
      <c r="O59" s="51">
        <v>312</v>
      </c>
      <c r="P59" s="51">
        <v>150</v>
      </c>
      <c r="Q59" s="6"/>
      <c r="R59" s="6"/>
    </row>
    <row r="60" spans="1:18" ht="12.75">
      <c r="A60" s="54">
        <v>44</v>
      </c>
      <c r="B60" s="57" t="s">
        <v>29</v>
      </c>
      <c r="C60" s="51">
        <v>181340</v>
      </c>
      <c r="D60" s="57">
        <v>30461</v>
      </c>
      <c r="E60" s="57">
        <v>12430</v>
      </c>
      <c r="F60" s="57">
        <v>4725</v>
      </c>
      <c r="G60" s="57">
        <v>4091</v>
      </c>
      <c r="H60" s="57">
        <v>1556</v>
      </c>
      <c r="I60" s="57">
        <v>1307</v>
      </c>
      <c r="J60" s="57">
        <v>315</v>
      </c>
      <c r="K60" s="57">
        <v>4112</v>
      </c>
      <c r="L60" s="57">
        <v>1519</v>
      </c>
      <c r="M60" s="190">
        <f t="shared" si="9"/>
        <v>2920</v>
      </c>
      <c r="N60" s="190">
        <f t="shared" si="10"/>
        <v>1335</v>
      </c>
      <c r="O60" s="51">
        <v>1258</v>
      </c>
      <c r="P60" s="51">
        <v>989</v>
      </c>
      <c r="Q60" s="6"/>
      <c r="R60" s="6"/>
    </row>
    <row r="61" spans="1:18" ht="12.75">
      <c r="A61" s="54">
        <v>45</v>
      </c>
      <c r="B61" s="57" t="s">
        <v>391</v>
      </c>
      <c r="C61" s="51">
        <v>283276</v>
      </c>
      <c r="D61" s="57">
        <v>40471</v>
      </c>
      <c r="E61" s="57">
        <v>26683</v>
      </c>
      <c r="F61" s="57">
        <v>12791</v>
      </c>
      <c r="G61" s="57">
        <v>13129</v>
      </c>
      <c r="H61" s="57">
        <v>10387</v>
      </c>
      <c r="I61" s="57">
        <v>508</v>
      </c>
      <c r="J61" s="57">
        <v>279</v>
      </c>
      <c r="K61" s="57">
        <v>7245</v>
      </c>
      <c r="L61" s="57">
        <v>1922</v>
      </c>
      <c r="M61" s="190">
        <f t="shared" si="9"/>
        <v>5801</v>
      </c>
      <c r="N61" s="190">
        <f t="shared" si="10"/>
        <v>203</v>
      </c>
      <c r="O61" s="51">
        <v>2097</v>
      </c>
      <c r="P61" s="51">
        <v>618</v>
      </c>
      <c r="Q61" s="6"/>
      <c r="R61" s="6"/>
    </row>
    <row r="62" spans="1:18" ht="12.75">
      <c r="A62" s="54">
        <v>46</v>
      </c>
      <c r="B62" s="57" t="s">
        <v>25</v>
      </c>
      <c r="C62" s="51">
        <v>56486</v>
      </c>
      <c r="D62" s="57">
        <v>4421</v>
      </c>
      <c r="E62" s="57">
        <v>3357</v>
      </c>
      <c r="F62" s="57">
        <v>925</v>
      </c>
      <c r="G62" s="57">
        <v>2223</v>
      </c>
      <c r="H62" s="57">
        <v>652</v>
      </c>
      <c r="I62" s="57">
        <v>174</v>
      </c>
      <c r="J62" s="57">
        <v>43</v>
      </c>
      <c r="K62" s="57">
        <v>388</v>
      </c>
      <c r="L62" s="57">
        <v>98</v>
      </c>
      <c r="M62" s="190">
        <f t="shared" si="9"/>
        <v>572</v>
      </c>
      <c r="N62" s="190">
        <f t="shared" si="10"/>
        <v>132</v>
      </c>
      <c r="O62" s="51">
        <v>207</v>
      </c>
      <c r="P62" s="51">
        <v>54</v>
      </c>
      <c r="Q62" s="6"/>
      <c r="R62" s="6"/>
    </row>
    <row r="63" spans="1:18" ht="12.75">
      <c r="A63" s="54">
        <v>47</v>
      </c>
      <c r="B63" s="57" t="s">
        <v>28</v>
      </c>
      <c r="C63" s="51">
        <v>10998</v>
      </c>
      <c r="D63" s="57">
        <v>3311</v>
      </c>
      <c r="E63" s="57">
        <v>2042</v>
      </c>
      <c r="F63" s="57">
        <v>1860</v>
      </c>
      <c r="G63" s="57">
        <v>945</v>
      </c>
      <c r="H63" s="57">
        <v>895</v>
      </c>
      <c r="I63" s="57">
        <v>54</v>
      </c>
      <c r="J63" s="57">
        <v>24</v>
      </c>
      <c r="K63" s="57">
        <v>445</v>
      </c>
      <c r="L63" s="57">
        <v>496</v>
      </c>
      <c r="M63" s="190">
        <f t="shared" si="9"/>
        <v>598</v>
      </c>
      <c r="N63" s="190">
        <f t="shared" si="10"/>
        <v>445</v>
      </c>
      <c r="O63" s="51">
        <v>0</v>
      </c>
      <c r="P63" s="51">
        <v>0</v>
      </c>
      <c r="Q63" s="6"/>
      <c r="R63" s="6"/>
    </row>
    <row r="64" spans="1:16" s="165" customFormat="1" ht="14.25">
      <c r="A64" s="50"/>
      <c r="B64" s="87" t="s">
        <v>123</v>
      </c>
      <c r="C64" s="128">
        <f aca="true" t="shared" si="11" ref="C64:P64">SUM(C56:C63)</f>
        <v>859847</v>
      </c>
      <c r="D64" s="164">
        <f t="shared" si="11"/>
        <v>143627</v>
      </c>
      <c r="E64" s="164">
        <f t="shared" si="11"/>
        <v>110067</v>
      </c>
      <c r="F64" s="164">
        <f t="shared" si="11"/>
        <v>49635</v>
      </c>
      <c r="G64" s="164">
        <f t="shared" si="11"/>
        <v>54583</v>
      </c>
      <c r="H64" s="164">
        <f t="shared" si="11"/>
        <v>29152</v>
      </c>
      <c r="I64" s="164">
        <f t="shared" si="11"/>
        <v>11829</v>
      </c>
      <c r="J64" s="164">
        <f t="shared" si="11"/>
        <v>3366</v>
      </c>
      <c r="K64" s="164">
        <f t="shared" si="11"/>
        <v>17729</v>
      </c>
      <c r="L64" s="164">
        <f t="shared" si="11"/>
        <v>6512</v>
      </c>
      <c r="M64" s="197">
        <f t="shared" si="11"/>
        <v>25926</v>
      </c>
      <c r="N64" s="197">
        <f t="shared" si="11"/>
        <v>10605</v>
      </c>
      <c r="O64" s="128">
        <f t="shared" si="11"/>
        <v>4946</v>
      </c>
      <c r="P64" s="128">
        <f t="shared" si="11"/>
        <v>2189</v>
      </c>
    </row>
    <row r="65" spans="1:16" ht="12.75">
      <c r="A65" s="50"/>
      <c r="B65" s="48" t="s">
        <v>36</v>
      </c>
      <c r="C65" s="51"/>
      <c r="D65" s="57"/>
      <c r="E65" s="57"/>
      <c r="F65" s="57"/>
      <c r="G65" s="57"/>
      <c r="H65" s="57"/>
      <c r="I65" s="57"/>
      <c r="J65" s="57"/>
      <c r="K65" s="57"/>
      <c r="L65" s="57"/>
      <c r="M65" s="190"/>
      <c r="N65" s="190"/>
      <c r="O65" s="51"/>
      <c r="P65" s="51"/>
    </row>
    <row r="66" spans="1:16" ht="12.75">
      <c r="A66" s="50">
        <v>48</v>
      </c>
      <c r="B66" s="51" t="s">
        <v>34</v>
      </c>
      <c r="C66" s="51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90">
        <f>E66-G66-I66-K66</f>
        <v>0</v>
      </c>
      <c r="N66" s="190">
        <f>F66-H66-J66-L66</f>
        <v>0</v>
      </c>
      <c r="O66" s="51">
        <v>0</v>
      </c>
      <c r="P66" s="51">
        <v>0</v>
      </c>
    </row>
    <row r="67" spans="1:16" ht="12.75">
      <c r="A67" s="50">
        <v>49</v>
      </c>
      <c r="B67" s="51" t="s">
        <v>130</v>
      </c>
      <c r="C67" s="51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90">
        <f>E67-G67-I67-K67</f>
        <v>0</v>
      </c>
      <c r="N67" s="190">
        <f>F67-H67-J67-L67</f>
        <v>0</v>
      </c>
      <c r="O67" s="51">
        <v>0</v>
      </c>
      <c r="P67" s="51">
        <v>0</v>
      </c>
    </row>
    <row r="68" spans="1:16" s="165" customFormat="1" ht="14.25">
      <c r="A68" s="163"/>
      <c r="B68" s="87" t="s">
        <v>123</v>
      </c>
      <c r="C68" s="128">
        <f aca="true" t="shared" si="12" ref="C68:P68">SUM(C66:C67)</f>
        <v>0</v>
      </c>
      <c r="D68" s="164">
        <f t="shared" si="12"/>
        <v>0</v>
      </c>
      <c r="E68" s="164">
        <f t="shared" si="12"/>
        <v>0</v>
      </c>
      <c r="F68" s="164">
        <f t="shared" si="12"/>
        <v>0</v>
      </c>
      <c r="G68" s="164">
        <f t="shared" si="12"/>
        <v>0</v>
      </c>
      <c r="H68" s="164">
        <f t="shared" si="12"/>
        <v>0</v>
      </c>
      <c r="I68" s="164">
        <f t="shared" si="12"/>
        <v>0</v>
      </c>
      <c r="J68" s="164">
        <f t="shared" si="12"/>
        <v>0</v>
      </c>
      <c r="K68" s="164">
        <f t="shared" si="12"/>
        <v>0</v>
      </c>
      <c r="L68" s="164">
        <f t="shared" si="12"/>
        <v>0</v>
      </c>
      <c r="M68" s="197">
        <f t="shared" si="12"/>
        <v>0</v>
      </c>
      <c r="N68" s="197">
        <f t="shared" si="12"/>
        <v>0</v>
      </c>
      <c r="O68" s="128">
        <f t="shared" si="12"/>
        <v>0</v>
      </c>
      <c r="P68" s="128">
        <f t="shared" si="12"/>
        <v>0</v>
      </c>
    </row>
    <row r="69" spans="1:16" s="165" customFormat="1" ht="14.25">
      <c r="A69" s="163"/>
      <c r="B69" s="87" t="s">
        <v>35</v>
      </c>
      <c r="C69" s="128">
        <f aca="true" t="shared" si="13" ref="C69:P69">+C49+C64+C68</f>
        <v>2945648</v>
      </c>
      <c r="D69" s="164">
        <f t="shared" si="13"/>
        <v>812394</v>
      </c>
      <c r="E69" s="164">
        <f t="shared" si="13"/>
        <v>568784</v>
      </c>
      <c r="F69" s="164">
        <f t="shared" si="13"/>
        <v>513643</v>
      </c>
      <c r="G69" s="164">
        <f t="shared" si="13"/>
        <v>216694</v>
      </c>
      <c r="H69" s="164">
        <f t="shared" si="13"/>
        <v>171147</v>
      </c>
      <c r="I69" s="164">
        <f t="shared" si="13"/>
        <v>39790</v>
      </c>
      <c r="J69" s="164">
        <f t="shared" si="13"/>
        <v>39758</v>
      </c>
      <c r="K69" s="164">
        <f t="shared" si="13"/>
        <v>122489</v>
      </c>
      <c r="L69" s="164">
        <f t="shared" si="13"/>
        <v>145609</v>
      </c>
      <c r="M69" s="197">
        <f t="shared" si="13"/>
        <v>189811</v>
      </c>
      <c r="N69" s="197">
        <f t="shared" si="13"/>
        <v>157129</v>
      </c>
      <c r="O69" s="128">
        <f t="shared" si="13"/>
        <v>56824</v>
      </c>
      <c r="P69" s="128">
        <f t="shared" si="13"/>
        <v>30862</v>
      </c>
    </row>
    <row r="79" spans="4:5" ht="12.75">
      <c r="D79" s="22">
        <v>18</v>
      </c>
      <c r="E79" s="22">
        <v>18</v>
      </c>
    </row>
    <row r="80" ht="12.75">
      <c r="E80" s="22">
        <v>18</v>
      </c>
    </row>
  </sheetData>
  <sheetProtection/>
  <mergeCells count="18">
    <mergeCell ref="G4:N4"/>
    <mergeCell ref="M5:N5"/>
    <mergeCell ref="C4:F4"/>
    <mergeCell ref="C53:F53"/>
    <mergeCell ref="G53:N53"/>
    <mergeCell ref="C54:D54"/>
    <mergeCell ref="C5:D5"/>
    <mergeCell ref="E54:F54"/>
    <mergeCell ref="E5:F5"/>
    <mergeCell ref="O5:P5"/>
    <mergeCell ref="G54:H54"/>
    <mergeCell ref="I54:J54"/>
    <mergeCell ref="K54:L54"/>
    <mergeCell ref="M54:N54"/>
    <mergeCell ref="O54:P54"/>
    <mergeCell ref="G5:H5"/>
    <mergeCell ref="I5:J5"/>
    <mergeCell ref="K5:L5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5" r:id="rId2"/>
  <rowBreaks count="1" manualBreakCount="1">
    <brk id="49" max="25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C1">
      <selection activeCell="D14" sqref="D14"/>
    </sheetView>
  </sheetViews>
  <sheetFormatPr defaultColWidth="9.140625" defaultRowHeight="12.75"/>
  <cols>
    <col min="1" max="1" width="5.421875" style="0" customWidth="1"/>
    <col min="2" max="2" width="25.421875" style="0" customWidth="1"/>
    <col min="3" max="3" width="37.00390625" style="0" customWidth="1"/>
    <col min="4" max="4" width="14.28125" style="0" customWidth="1"/>
    <col min="5" max="5" width="16.8515625" style="0" customWidth="1"/>
    <col min="6" max="6" width="18.00390625" style="0" customWidth="1"/>
    <col min="7" max="7" width="16.140625" style="0" customWidth="1"/>
  </cols>
  <sheetData>
    <row r="1" spans="1:7" ht="34.5" customHeight="1">
      <c r="A1" s="10" t="s">
        <v>360</v>
      </c>
      <c r="B1" s="10"/>
      <c r="C1" s="10"/>
      <c r="D1" s="10"/>
      <c r="E1" s="238"/>
      <c r="F1" s="10"/>
      <c r="G1" s="10" t="s">
        <v>361</v>
      </c>
    </row>
    <row r="2" ht="34.5" customHeight="1">
      <c r="C2" t="s">
        <v>36</v>
      </c>
    </row>
    <row r="3" spans="1:7" ht="12.75">
      <c r="A3" s="246" t="s">
        <v>330</v>
      </c>
      <c r="B3" s="243" t="s">
        <v>331</v>
      </c>
      <c r="C3" s="239" t="s">
        <v>332</v>
      </c>
      <c r="D3" s="239" t="s">
        <v>346</v>
      </c>
      <c r="E3" s="239" t="s">
        <v>333</v>
      </c>
      <c r="F3" s="239" t="s">
        <v>435</v>
      </c>
      <c r="G3" s="239" t="s">
        <v>347</v>
      </c>
    </row>
    <row r="4" spans="1:7" ht="12.75">
      <c r="A4" s="246"/>
      <c r="B4" s="244"/>
      <c r="C4" s="240"/>
      <c r="D4" s="240" t="s">
        <v>107</v>
      </c>
      <c r="E4" s="240"/>
      <c r="F4" s="240"/>
      <c r="G4" s="240" t="s">
        <v>348</v>
      </c>
    </row>
    <row r="5" spans="1:7" s="154" customFormat="1" ht="18" customHeight="1">
      <c r="A5" s="247">
        <v>1</v>
      </c>
      <c r="B5" s="159" t="s">
        <v>334</v>
      </c>
      <c r="C5" s="158" t="s">
        <v>336</v>
      </c>
      <c r="D5" s="153">
        <v>0.15</v>
      </c>
      <c r="E5" s="153" t="s">
        <v>339</v>
      </c>
      <c r="F5" s="153">
        <v>0.27</v>
      </c>
      <c r="G5" s="153" t="s">
        <v>342</v>
      </c>
    </row>
    <row r="6" spans="1:7" s="154" customFormat="1" ht="18" customHeight="1">
      <c r="A6" s="248"/>
      <c r="B6" s="160"/>
      <c r="C6" s="158" t="s">
        <v>337</v>
      </c>
      <c r="D6" s="153">
        <v>5.11</v>
      </c>
      <c r="E6" s="153" t="s">
        <v>340</v>
      </c>
      <c r="F6" s="153">
        <v>5.11</v>
      </c>
      <c r="G6" s="153" t="s">
        <v>343</v>
      </c>
    </row>
    <row r="7" spans="1:7" s="154" customFormat="1" ht="18" customHeight="1">
      <c r="A7" s="247">
        <v>2</v>
      </c>
      <c r="B7" s="161" t="s">
        <v>420</v>
      </c>
      <c r="C7" s="158" t="s">
        <v>353</v>
      </c>
      <c r="D7" s="153">
        <v>17.72</v>
      </c>
      <c r="E7" s="153"/>
      <c r="F7" s="153">
        <v>11.11</v>
      </c>
      <c r="G7" s="153" t="s">
        <v>344</v>
      </c>
    </row>
    <row r="8" spans="1:7" s="154" customFormat="1" ht="18" customHeight="1">
      <c r="A8" s="156">
        <v>3</v>
      </c>
      <c r="B8" s="157" t="s">
        <v>335</v>
      </c>
      <c r="C8" s="158" t="s">
        <v>338</v>
      </c>
      <c r="D8" s="153">
        <v>0.54</v>
      </c>
      <c r="E8" s="153" t="s">
        <v>341</v>
      </c>
      <c r="F8" s="153">
        <v>4.4</v>
      </c>
      <c r="G8" s="153" t="s">
        <v>345</v>
      </c>
    </row>
    <row r="9" spans="1:7" s="154" customFormat="1" ht="18" customHeight="1">
      <c r="A9" s="153"/>
      <c r="B9" s="245" t="s">
        <v>3</v>
      </c>
      <c r="C9" s="162"/>
      <c r="D9" s="155">
        <f>SUM(D5:D8)</f>
        <v>23.52</v>
      </c>
      <c r="E9" s="155"/>
      <c r="F9" s="155">
        <f>SUM(F5:F8)</f>
        <v>20.89</v>
      </c>
      <c r="G9" s="155"/>
    </row>
    <row r="10" ht="12.75">
      <c r="D10" s="551"/>
    </row>
  </sheetData>
  <sheetProtection/>
  <printOptions/>
  <pageMargins left="0.94" right="0.37" top="1" bottom="1" header="0.5" footer="0.5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D1">
      <selection activeCell="A72" sqref="A72"/>
    </sheetView>
  </sheetViews>
  <sheetFormatPr defaultColWidth="9.140625" defaultRowHeight="12.75"/>
  <cols>
    <col min="1" max="1" width="3.7109375" style="378" customWidth="1"/>
    <col min="2" max="2" width="22.57421875" style="378" customWidth="1"/>
    <col min="3" max="3" width="7.00390625" style="397" customWidth="1"/>
    <col min="4" max="4" width="14.7109375" style="397" customWidth="1"/>
    <col min="5" max="5" width="7.140625" style="397" customWidth="1"/>
    <col min="6" max="6" width="11.7109375" style="397" customWidth="1"/>
    <col min="7" max="7" width="5.57421875" style="397" customWidth="1"/>
    <col min="8" max="8" width="10.57421875" style="397" bestFit="1" customWidth="1"/>
    <col min="9" max="9" width="7.28125" style="397" customWidth="1"/>
    <col min="10" max="10" width="9.57421875" style="451" customWidth="1"/>
    <col min="11" max="11" width="7.00390625" style="397" customWidth="1"/>
    <col min="12" max="12" width="13.8515625" style="397" customWidth="1"/>
    <col min="13" max="13" width="8.28125" style="397" customWidth="1"/>
    <col min="14" max="14" width="11.7109375" style="451" customWidth="1"/>
    <col min="15" max="15" width="6.7109375" style="397" customWidth="1"/>
    <col min="16" max="16" width="9.28125" style="397" customWidth="1"/>
    <col min="17" max="17" width="7.8515625" style="451" customWidth="1"/>
    <col min="18" max="18" width="10.140625" style="451" customWidth="1"/>
    <col min="19" max="19" width="8.140625" style="397" customWidth="1"/>
    <col min="20" max="20" width="10.140625" style="397" customWidth="1"/>
    <col min="21" max="21" width="3.7109375" style="378" customWidth="1"/>
    <col min="22" max="22" width="13.140625" style="378" customWidth="1"/>
    <col min="23" max="23" width="11.7109375" style="112" customWidth="1"/>
    <col min="24" max="16384" width="9.140625" style="112" customWidth="1"/>
  </cols>
  <sheetData>
    <row r="1" spans="1:21" ht="18" customHeight="1">
      <c r="A1" s="399"/>
      <c r="B1" s="399"/>
      <c r="C1" s="389"/>
      <c r="D1" s="389"/>
      <c r="E1" s="389"/>
      <c r="F1" s="459"/>
      <c r="G1" s="389"/>
      <c r="H1" s="389"/>
      <c r="I1" s="459"/>
      <c r="J1" s="459"/>
      <c r="K1" s="389"/>
      <c r="L1" s="389"/>
      <c r="M1" s="389"/>
      <c r="N1" s="459"/>
      <c r="O1" s="389"/>
      <c r="P1" s="389"/>
      <c r="Q1" s="459"/>
      <c r="R1" s="459"/>
      <c r="S1" s="389"/>
      <c r="T1" s="389"/>
      <c r="U1" s="399"/>
    </row>
    <row r="2" spans="1:21" ht="18" customHeight="1">
      <c r="A2" s="399"/>
      <c r="B2" s="399"/>
      <c r="C2" s="389"/>
      <c r="D2" s="389"/>
      <c r="E2" s="389"/>
      <c r="F2" s="459"/>
      <c r="G2" s="389"/>
      <c r="H2" s="389"/>
      <c r="I2" s="459"/>
      <c r="J2" s="459"/>
      <c r="K2" s="389"/>
      <c r="L2" s="389"/>
      <c r="M2" s="389"/>
      <c r="N2" s="459"/>
      <c r="O2" s="389"/>
      <c r="P2" s="389"/>
      <c r="Q2" s="459"/>
      <c r="R2" s="459"/>
      <c r="S2" s="389"/>
      <c r="T2" s="389"/>
      <c r="U2" s="399"/>
    </row>
    <row r="3" spans="1:21" ht="18" customHeight="1">
      <c r="A3" s="399"/>
      <c r="B3" s="399"/>
      <c r="C3" s="389"/>
      <c r="D3" s="389"/>
      <c r="E3" s="389"/>
      <c r="F3" s="459"/>
      <c r="G3" s="389"/>
      <c r="H3" s="389"/>
      <c r="I3" s="459"/>
      <c r="J3" s="459"/>
      <c r="K3" s="389"/>
      <c r="L3" s="389"/>
      <c r="M3" s="389"/>
      <c r="N3" s="459"/>
      <c r="O3" s="389"/>
      <c r="P3" s="389"/>
      <c r="Q3" s="459"/>
      <c r="R3" s="459"/>
      <c r="S3" s="389"/>
      <c r="T3" s="389"/>
      <c r="U3" s="399"/>
    </row>
    <row r="4" spans="1:24" ht="18" customHeight="1">
      <c r="A4" s="123" t="s">
        <v>4</v>
      </c>
      <c r="B4" s="123" t="s">
        <v>5</v>
      </c>
      <c r="C4" s="672" t="s">
        <v>258</v>
      </c>
      <c r="D4" s="673"/>
      <c r="E4" s="673"/>
      <c r="F4" s="673"/>
      <c r="G4" s="673"/>
      <c r="H4" s="673"/>
      <c r="I4" s="745"/>
      <c r="J4" s="745"/>
      <c r="K4" s="672" t="s">
        <v>94</v>
      </c>
      <c r="L4" s="673"/>
      <c r="M4" s="673"/>
      <c r="N4" s="673"/>
      <c r="O4" s="673"/>
      <c r="P4" s="673"/>
      <c r="Q4" s="745"/>
      <c r="R4" s="745"/>
      <c r="S4" s="646" t="s">
        <v>378</v>
      </c>
      <c r="T4" s="647"/>
      <c r="U4" s="123" t="s">
        <v>4</v>
      </c>
      <c r="W4" s="378"/>
      <c r="X4" s="378"/>
    </row>
    <row r="5" spans="1:24" ht="12">
      <c r="A5" s="315" t="s">
        <v>6</v>
      </c>
      <c r="B5" s="315"/>
      <c r="C5" s="722" t="s">
        <v>372</v>
      </c>
      <c r="D5" s="723"/>
      <c r="E5" s="722" t="s">
        <v>373</v>
      </c>
      <c r="F5" s="723"/>
      <c r="G5" s="722" t="s">
        <v>374</v>
      </c>
      <c r="H5" s="723"/>
      <c r="I5" s="750" t="s">
        <v>241</v>
      </c>
      <c r="J5" s="722"/>
      <c r="K5" s="722" t="s">
        <v>372</v>
      </c>
      <c r="L5" s="723"/>
      <c r="M5" s="722" t="s">
        <v>373</v>
      </c>
      <c r="N5" s="723"/>
      <c r="O5" s="722" t="s">
        <v>374</v>
      </c>
      <c r="P5" s="723"/>
      <c r="Q5" s="747" t="s">
        <v>241</v>
      </c>
      <c r="R5" s="748"/>
      <c r="S5" s="492" t="s">
        <v>57</v>
      </c>
      <c r="T5" s="492" t="s">
        <v>63</v>
      </c>
      <c r="U5" s="315" t="s">
        <v>6</v>
      </c>
      <c r="W5" s="378"/>
      <c r="X5" s="378"/>
    </row>
    <row r="6" spans="1:24" ht="12">
      <c r="A6" s="124"/>
      <c r="B6" s="124" t="s">
        <v>36</v>
      </c>
      <c r="C6" s="323" t="s">
        <v>57</v>
      </c>
      <c r="D6" s="323" t="s">
        <v>63</v>
      </c>
      <c r="E6" s="323" t="s">
        <v>57</v>
      </c>
      <c r="F6" s="266" t="s">
        <v>63</v>
      </c>
      <c r="G6" s="323" t="s">
        <v>57</v>
      </c>
      <c r="H6" s="323" t="s">
        <v>63</v>
      </c>
      <c r="I6" s="266" t="s">
        <v>57</v>
      </c>
      <c r="J6" s="454" t="s">
        <v>63</v>
      </c>
      <c r="K6" s="323" t="s">
        <v>57</v>
      </c>
      <c r="L6" s="323" t="s">
        <v>63</v>
      </c>
      <c r="M6" s="323" t="s">
        <v>57</v>
      </c>
      <c r="N6" s="266" t="s">
        <v>63</v>
      </c>
      <c r="O6" s="323" t="s">
        <v>57</v>
      </c>
      <c r="P6" s="323" t="s">
        <v>63</v>
      </c>
      <c r="Q6" s="266" t="s">
        <v>57</v>
      </c>
      <c r="R6" s="454" t="s">
        <v>63</v>
      </c>
      <c r="S6" s="323"/>
      <c r="T6" s="323"/>
      <c r="U6" s="124"/>
      <c r="V6" s="378" t="s">
        <v>392</v>
      </c>
      <c r="W6" s="378" t="s">
        <v>393</v>
      </c>
      <c r="X6" s="378"/>
    </row>
    <row r="7" spans="1:23" ht="12.75">
      <c r="A7" s="125">
        <v>1</v>
      </c>
      <c r="B7" s="149" t="s">
        <v>7</v>
      </c>
      <c r="C7" s="149">
        <v>342</v>
      </c>
      <c r="D7" s="149">
        <v>2774</v>
      </c>
      <c r="E7" s="149">
        <v>378</v>
      </c>
      <c r="F7" s="405">
        <f aca="true" t="shared" si="0" ref="F7:F25">W7-D7-H7</f>
        <v>1585</v>
      </c>
      <c r="G7" s="149">
        <v>0</v>
      </c>
      <c r="H7" s="149">
        <v>0</v>
      </c>
      <c r="I7" s="405">
        <f>C7+E7+G7</f>
        <v>720</v>
      </c>
      <c r="J7" s="405">
        <f>D7+F7+H7</f>
        <v>4359</v>
      </c>
      <c r="K7" s="149">
        <v>4183</v>
      </c>
      <c r="L7" s="149">
        <v>16552</v>
      </c>
      <c r="M7" s="149">
        <v>13374</v>
      </c>
      <c r="N7" s="405">
        <f aca="true" t="shared" si="1" ref="N7:N47">V7-L7-P7</f>
        <v>19819</v>
      </c>
      <c r="O7" s="149">
        <v>0</v>
      </c>
      <c r="P7" s="149">
        <v>0</v>
      </c>
      <c r="Q7" s="405">
        <f>K7+M7+O7</f>
        <v>17557</v>
      </c>
      <c r="R7" s="405">
        <f>L7+N7+P7</f>
        <v>36371</v>
      </c>
      <c r="S7" s="149">
        <v>3865</v>
      </c>
      <c r="T7" s="149">
        <v>4937</v>
      </c>
      <c r="U7" s="125">
        <v>1</v>
      </c>
      <c r="V7" s="398">
        <v>36371</v>
      </c>
      <c r="W7" s="398">
        <v>4359</v>
      </c>
    </row>
    <row r="8" spans="1:23" ht="12.75">
      <c r="A8" s="125">
        <v>2</v>
      </c>
      <c r="B8" s="149" t="s">
        <v>8</v>
      </c>
      <c r="C8" s="149">
        <v>0</v>
      </c>
      <c r="D8" s="149">
        <v>0</v>
      </c>
      <c r="E8" s="149">
        <v>0</v>
      </c>
      <c r="F8" s="405">
        <f t="shared" si="0"/>
        <v>3</v>
      </c>
      <c r="G8" s="149">
        <v>0</v>
      </c>
      <c r="H8" s="149">
        <v>0</v>
      </c>
      <c r="I8" s="405">
        <f aca="true" t="shared" si="2" ref="I8:I25">C8+E8+G8</f>
        <v>0</v>
      </c>
      <c r="J8" s="405">
        <f aca="true" t="shared" si="3" ref="J8:J25">D8+F8+H8</f>
        <v>3</v>
      </c>
      <c r="K8" s="149">
        <v>68</v>
      </c>
      <c r="L8" s="149">
        <v>608</v>
      </c>
      <c r="M8" s="149">
        <v>207</v>
      </c>
      <c r="N8" s="405">
        <f t="shared" si="1"/>
        <v>266</v>
      </c>
      <c r="O8" s="149">
        <v>171</v>
      </c>
      <c r="P8" s="149">
        <v>2127</v>
      </c>
      <c r="Q8" s="405">
        <f aca="true" t="shared" si="4" ref="Q8:Q25">K8+M8+O8</f>
        <v>446</v>
      </c>
      <c r="R8" s="405">
        <f aca="true" t="shared" si="5" ref="R8:R24">L8+N8+P8</f>
        <v>3001</v>
      </c>
      <c r="S8" s="149">
        <v>13</v>
      </c>
      <c r="T8" s="149">
        <v>391</v>
      </c>
      <c r="U8" s="125">
        <v>2</v>
      </c>
      <c r="V8" s="398">
        <v>3001</v>
      </c>
      <c r="W8" s="398">
        <v>3</v>
      </c>
    </row>
    <row r="9" spans="1:24" ht="12.75">
      <c r="A9" s="125">
        <v>3</v>
      </c>
      <c r="B9" s="149" t="s">
        <v>9</v>
      </c>
      <c r="C9" s="149">
        <v>580</v>
      </c>
      <c r="D9" s="149">
        <v>3788</v>
      </c>
      <c r="E9" s="149">
        <v>467</v>
      </c>
      <c r="F9" s="405">
        <f t="shared" si="0"/>
        <v>2751</v>
      </c>
      <c r="G9" s="149">
        <v>4</v>
      </c>
      <c r="H9" s="149">
        <v>149</v>
      </c>
      <c r="I9" s="405">
        <f t="shared" si="2"/>
        <v>1051</v>
      </c>
      <c r="J9" s="405">
        <f t="shared" si="3"/>
        <v>6688</v>
      </c>
      <c r="K9" s="149">
        <v>1958</v>
      </c>
      <c r="L9" s="149">
        <v>30853</v>
      </c>
      <c r="M9" s="149">
        <v>3394</v>
      </c>
      <c r="N9" s="405">
        <f t="shared" si="1"/>
        <v>18277</v>
      </c>
      <c r="O9" s="149">
        <v>7</v>
      </c>
      <c r="P9" s="149">
        <v>1801</v>
      </c>
      <c r="Q9" s="405">
        <f t="shared" si="4"/>
        <v>5359</v>
      </c>
      <c r="R9" s="405">
        <f t="shared" si="5"/>
        <v>50931</v>
      </c>
      <c r="S9" s="149">
        <v>2041</v>
      </c>
      <c r="T9" s="149">
        <v>13143</v>
      </c>
      <c r="U9" s="125">
        <v>3</v>
      </c>
      <c r="V9" s="398">
        <v>50931</v>
      </c>
      <c r="W9" s="398">
        <v>6688</v>
      </c>
      <c r="X9" s="112">
        <f>488+496</f>
        <v>984</v>
      </c>
    </row>
    <row r="10" spans="1:23" ht="12.75">
      <c r="A10" s="125">
        <v>4</v>
      </c>
      <c r="B10" s="149" t="s">
        <v>10</v>
      </c>
      <c r="C10" s="149">
        <v>326</v>
      </c>
      <c r="D10" s="149">
        <v>4353</v>
      </c>
      <c r="E10" s="149">
        <v>831</v>
      </c>
      <c r="F10" s="405">
        <f t="shared" si="0"/>
        <v>6541</v>
      </c>
      <c r="G10" s="149">
        <v>0</v>
      </c>
      <c r="H10" s="149">
        <v>0</v>
      </c>
      <c r="I10" s="405">
        <f t="shared" si="2"/>
        <v>1157</v>
      </c>
      <c r="J10" s="405">
        <f t="shared" si="3"/>
        <v>10894</v>
      </c>
      <c r="K10" s="149">
        <v>6955</v>
      </c>
      <c r="L10" s="149">
        <v>30275</v>
      </c>
      <c r="M10" s="149">
        <v>17891</v>
      </c>
      <c r="N10" s="405">
        <f t="shared" si="1"/>
        <v>31981</v>
      </c>
      <c r="O10" s="149">
        <v>0</v>
      </c>
      <c r="P10" s="149">
        <v>0</v>
      </c>
      <c r="Q10" s="405">
        <f t="shared" si="4"/>
        <v>24846</v>
      </c>
      <c r="R10" s="405">
        <f t="shared" si="5"/>
        <v>62256</v>
      </c>
      <c r="S10" s="149">
        <v>6389</v>
      </c>
      <c r="T10" s="149">
        <v>24030</v>
      </c>
      <c r="U10" s="125">
        <v>4</v>
      </c>
      <c r="V10" s="398">
        <v>62256</v>
      </c>
      <c r="W10" s="398">
        <v>10894</v>
      </c>
    </row>
    <row r="11" spans="1:23" ht="12.75">
      <c r="A11" s="125">
        <v>5</v>
      </c>
      <c r="B11" s="149" t="s">
        <v>11</v>
      </c>
      <c r="C11" s="149">
        <v>42</v>
      </c>
      <c r="D11" s="149">
        <v>764</v>
      </c>
      <c r="E11" s="149">
        <v>176</v>
      </c>
      <c r="F11" s="405">
        <f t="shared" si="0"/>
        <v>1569</v>
      </c>
      <c r="G11" s="149">
        <v>1</v>
      </c>
      <c r="H11" s="149">
        <v>2</v>
      </c>
      <c r="I11" s="405">
        <f t="shared" si="2"/>
        <v>219</v>
      </c>
      <c r="J11" s="405">
        <f t="shared" si="3"/>
        <v>2335</v>
      </c>
      <c r="K11" s="149">
        <v>1065</v>
      </c>
      <c r="L11" s="149">
        <v>4411</v>
      </c>
      <c r="M11" s="149">
        <v>4258</v>
      </c>
      <c r="N11" s="405">
        <f t="shared" si="1"/>
        <v>7111</v>
      </c>
      <c r="O11" s="149">
        <v>3</v>
      </c>
      <c r="P11" s="149">
        <v>404</v>
      </c>
      <c r="Q11" s="405">
        <v>8475</v>
      </c>
      <c r="R11" s="405">
        <f t="shared" si="5"/>
        <v>11926</v>
      </c>
      <c r="S11" s="149">
        <v>1351</v>
      </c>
      <c r="T11" s="149">
        <v>2068</v>
      </c>
      <c r="U11" s="125">
        <v>5</v>
      </c>
      <c r="V11" s="398">
        <v>11926</v>
      </c>
      <c r="W11" s="398">
        <v>2335</v>
      </c>
    </row>
    <row r="12" spans="1:23" ht="12.75">
      <c r="A12" s="125">
        <v>6</v>
      </c>
      <c r="B12" s="149" t="s">
        <v>12</v>
      </c>
      <c r="C12" s="149">
        <v>279</v>
      </c>
      <c r="D12" s="149">
        <v>204</v>
      </c>
      <c r="E12" s="149">
        <v>27</v>
      </c>
      <c r="F12" s="405">
        <f t="shared" si="0"/>
        <v>1348</v>
      </c>
      <c r="G12" s="149">
        <v>5</v>
      </c>
      <c r="H12" s="149">
        <v>11</v>
      </c>
      <c r="I12" s="405">
        <f t="shared" si="2"/>
        <v>311</v>
      </c>
      <c r="J12" s="405">
        <f t="shared" si="3"/>
        <v>1563</v>
      </c>
      <c r="K12" s="149">
        <v>746</v>
      </c>
      <c r="L12" s="149">
        <v>5678</v>
      </c>
      <c r="M12" s="149">
        <v>2443</v>
      </c>
      <c r="N12" s="405">
        <f t="shared" si="1"/>
        <v>4455</v>
      </c>
      <c r="O12" s="149">
        <v>23</v>
      </c>
      <c r="P12" s="149">
        <v>1531</v>
      </c>
      <c r="Q12" s="405">
        <f t="shared" si="4"/>
        <v>3212</v>
      </c>
      <c r="R12" s="405">
        <f t="shared" si="5"/>
        <v>11664</v>
      </c>
      <c r="S12" s="149">
        <v>971</v>
      </c>
      <c r="T12" s="149">
        <v>7136</v>
      </c>
      <c r="U12" s="125">
        <v>6</v>
      </c>
      <c r="V12" s="398">
        <v>11664</v>
      </c>
      <c r="W12" s="398">
        <v>1563</v>
      </c>
    </row>
    <row r="13" spans="1:23" ht="12.75">
      <c r="A13" s="110">
        <v>7</v>
      </c>
      <c r="B13" s="111" t="s">
        <v>13</v>
      </c>
      <c r="C13" s="111">
        <v>2045</v>
      </c>
      <c r="D13" s="111">
        <v>3876</v>
      </c>
      <c r="E13" s="111">
        <v>1988</v>
      </c>
      <c r="F13" s="405">
        <f t="shared" si="0"/>
        <v>5019</v>
      </c>
      <c r="G13" s="111">
        <v>0</v>
      </c>
      <c r="H13" s="111">
        <v>0</v>
      </c>
      <c r="I13" s="405">
        <f t="shared" si="2"/>
        <v>4033</v>
      </c>
      <c r="J13" s="405">
        <f t="shared" si="3"/>
        <v>8895</v>
      </c>
      <c r="K13" s="111">
        <v>7724</v>
      </c>
      <c r="L13" s="111">
        <v>20266</v>
      </c>
      <c r="M13" s="111">
        <v>34409</v>
      </c>
      <c r="N13" s="405">
        <f t="shared" si="1"/>
        <v>37092</v>
      </c>
      <c r="O13" s="111">
        <v>3</v>
      </c>
      <c r="P13" s="111">
        <v>855</v>
      </c>
      <c r="Q13" s="405">
        <f t="shared" si="4"/>
        <v>42136</v>
      </c>
      <c r="R13" s="405">
        <f t="shared" si="5"/>
        <v>58213</v>
      </c>
      <c r="S13" s="111">
        <v>2750</v>
      </c>
      <c r="T13" s="111">
        <v>10691</v>
      </c>
      <c r="U13" s="110">
        <v>7</v>
      </c>
      <c r="V13" s="398">
        <v>58213</v>
      </c>
      <c r="W13" s="398">
        <v>8895</v>
      </c>
    </row>
    <row r="14" spans="1:23" ht="12.75">
      <c r="A14" s="110">
        <v>8</v>
      </c>
      <c r="B14" s="111" t="s">
        <v>162</v>
      </c>
      <c r="C14" s="111">
        <v>25</v>
      </c>
      <c r="D14" s="111">
        <v>260</v>
      </c>
      <c r="E14" s="111">
        <v>53</v>
      </c>
      <c r="F14" s="405">
        <f t="shared" si="0"/>
        <v>690</v>
      </c>
      <c r="G14" s="111">
        <v>3</v>
      </c>
      <c r="H14" s="111">
        <v>9</v>
      </c>
      <c r="I14" s="405">
        <f t="shared" si="2"/>
        <v>81</v>
      </c>
      <c r="J14" s="405">
        <f t="shared" si="3"/>
        <v>959</v>
      </c>
      <c r="K14" s="111">
        <v>114</v>
      </c>
      <c r="L14" s="111">
        <v>604</v>
      </c>
      <c r="M14" s="111">
        <v>351</v>
      </c>
      <c r="N14" s="405">
        <f t="shared" si="1"/>
        <v>1837</v>
      </c>
      <c r="O14" s="111">
        <v>7</v>
      </c>
      <c r="P14" s="111">
        <v>139</v>
      </c>
      <c r="Q14" s="405">
        <f t="shared" si="4"/>
        <v>472</v>
      </c>
      <c r="R14" s="405">
        <f t="shared" si="5"/>
        <v>2580</v>
      </c>
      <c r="S14" s="111">
        <v>60</v>
      </c>
      <c r="T14" s="111">
        <v>76</v>
      </c>
      <c r="U14" s="110">
        <v>8</v>
      </c>
      <c r="V14" s="398">
        <v>2580</v>
      </c>
      <c r="W14" s="398">
        <v>959</v>
      </c>
    </row>
    <row r="15" spans="1:23" ht="12.75">
      <c r="A15" s="125">
        <v>9</v>
      </c>
      <c r="B15" s="149" t="s">
        <v>14</v>
      </c>
      <c r="C15" s="149">
        <v>26</v>
      </c>
      <c r="D15" s="149">
        <v>2135</v>
      </c>
      <c r="E15" s="149">
        <v>105</v>
      </c>
      <c r="F15" s="405">
        <f t="shared" si="0"/>
        <v>183</v>
      </c>
      <c r="G15" s="149">
        <v>0</v>
      </c>
      <c r="H15" s="149">
        <v>0</v>
      </c>
      <c r="I15" s="405">
        <f t="shared" si="2"/>
        <v>131</v>
      </c>
      <c r="J15" s="405">
        <f t="shared" si="3"/>
        <v>2318</v>
      </c>
      <c r="K15" s="149">
        <v>413</v>
      </c>
      <c r="L15" s="149">
        <v>16935</v>
      </c>
      <c r="M15" s="149">
        <v>1313</v>
      </c>
      <c r="N15" s="405">
        <f t="shared" si="1"/>
        <v>2834</v>
      </c>
      <c r="O15" s="149">
        <v>6</v>
      </c>
      <c r="P15" s="149">
        <v>5837</v>
      </c>
      <c r="Q15" s="405">
        <f t="shared" si="4"/>
        <v>1732</v>
      </c>
      <c r="R15" s="405">
        <f t="shared" si="5"/>
        <v>25606</v>
      </c>
      <c r="S15" s="149">
        <v>5660</v>
      </c>
      <c r="T15" s="149">
        <v>13579</v>
      </c>
      <c r="U15" s="125">
        <v>9</v>
      </c>
      <c r="V15" s="398">
        <v>25606</v>
      </c>
      <c r="W15" s="398">
        <v>2318</v>
      </c>
    </row>
    <row r="16" spans="1:23" ht="12.75">
      <c r="A16" s="125">
        <v>10</v>
      </c>
      <c r="B16" s="149" t="s">
        <v>15</v>
      </c>
      <c r="C16" s="149">
        <v>3</v>
      </c>
      <c r="D16" s="149">
        <v>47</v>
      </c>
      <c r="E16" s="149">
        <v>5</v>
      </c>
      <c r="F16" s="405">
        <f t="shared" si="0"/>
        <v>213</v>
      </c>
      <c r="G16" s="149">
        <v>2</v>
      </c>
      <c r="H16" s="149">
        <v>7</v>
      </c>
      <c r="I16" s="405">
        <f t="shared" si="2"/>
        <v>10</v>
      </c>
      <c r="J16" s="405">
        <f t="shared" si="3"/>
        <v>267</v>
      </c>
      <c r="K16" s="149">
        <v>120</v>
      </c>
      <c r="L16" s="149">
        <v>293</v>
      </c>
      <c r="M16" s="149">
        <v>458</v>
      </c>
      <c r="N16" s="405">
        <f t="shared" si="1"/>
        <v>945</v>
      </c>
      <c r="O16" s="149">
        <v>10</v>
      </c>
      <c r="P16" s="149">
        <v>71</v>
      </c>
      <c r="Q16" s="405">
        <f t="shared" si="4"/>
        <v>588</v>
      </c>
      <c r="R16" s="405">
        <f t="shared" si="5"/>
        <v>1309</v>
      </c>
      <c r="S16" s="149">
        <v>12</v>
      </c>
      <c r="T16" s="149">
        <v>13</v>
      </c>
      <c r="U16" s="125">
        <v>10</v>
      </c>
      <c r="V16" s="398">
        <v>1309</v>
      </c>
      <c r="W16" s="398">
        <v>267</v>
      </c>
    </row>
    <row r="17" spans="1:23" ht="12.75">
      <c r="A17" s="125">
        <v>11</v>
      </c>
      <c r="B17" s="149" t="s">
        <v>16</v>
      </c>
      <c r="C17" s="149">
        <v>15</v>
      </c>
      <c r="D17" s="149">
        <v>230</v>
      </c>
      <c r="E17" s="149">
        <v>11</v>
      </c>
      <c r="F17" s="405">
        <f t="shared" si="0"/>
        <v>1643</v>
      </c>
      <c r="G17" s="149">
        <v>1</v>
      </c>
      <c r="H17" s="149">
        <v>100</v>
      </c>
      <c r="I17" s="405">
        <f t="shared" si="2"/>
        <v>27</v>
      </c>
      <c r="J17" s="405">
        <f t="shared" si="3"/>
        <v>1973</v>
      </c>
      <c r="K17" s="149">
        <v>125</v>
      </c>
      <c r="L17" s="149">
        <v>512</v>
      </c>
      <c r="M17" s="149">
        <v>99</v>
      </c>
      <c r="N17" s="405">
        <f t="shared" si="1"/>
        <v>758</v>
      </c>
      <c r="O17" s="149">
        <v>4</v>
      </c>
      <c r="P17" s="149">
        <v>125</v>
      </c>
      <c r="Q17" s="405">
        <f t="shared" si="4"/>
        <v>228</v>
      </c>
      <c r="R17" s="405">
        <f t="shared" si="5"/>
        <v>1395</v>
      </c>
      <c r="S17" s="149">
        <v>118</v>
      </c>
      <c r="T17" s="149">
        <v>829</v>
      </c>
      <c r="U17" s="125">
        <v>11</v>
      </c>
      <c r="V17" s="398">
        <v>1395</v>
      </c>
      <c r="W17" s="398">
        <v>1973</v>
      </c>
    </row>
    <row r="18" spans="1:23" ht="12.75">
      <c r="A18" s="125">
        <v>12</v>
      </c>
      <c r="B18" s="149" t="s">
        <v>17</v>
      </c>
      <c r="C18" s="149">
        <v>0</v>
      </c>
      <c r="D18" s="149">
        <v>0</v>
      </c>
      <c r="E18" s="149">
        <v>25</v>
      </c>
      <c r="F18" s="405">
        <f t="shared" si="0"/>
        <v>380</v>
      </c>
      <c r="G18" s="149">
        <v>0</v>
      </c>
      <c r="H18" s="149">
        <v>0</v>
      </c>
      <c r="I18" s="405">
        <f t="shared" si="2"/>
        <v>25</v>
      </c>
      <c r="J18" s="405">
        <f t="shared" si="3"/>
        <v>380</v>
      </c>
      <c r="K18" s="149">
        <v>551</v>
      </c>
      <c r="L18" s="149">
        <v>3854</v>
      </c>
      <c r="M18" s="149">
        <v>7583</v>
      </c>
      <c r="N18" s="405">
        <f t="shared" si="1"/>
        <v>10072</v>
      </c>
      <c r="O18" s="149">
        <v>7</v>
      </c>
      <c r="P18" s="149">
        <v>16</v>
      </c>
      <c r="Q18" s="405">
        <f t="shared" si="4"/>
        <v>8141</v>
      </c>
      <c r="R18" s="405">
        <f t="shared" si="5"/>
        <v>13942</v>
      </c>
      <c r="S18" s="149">
        <v>629</v>
      </c>
      <c r="T18" s="149">
        <v>5558</v>
      </c>
      <c r="U18" s="125">
        <v>12</v>
      </c>
      <c r="V18" s="398">
        <v>13942</v>
      </c>
      <c r="W18" s="398">
        <v>380</v>
      </c>
    </row>
    <row r="19" spans="1:23" ht="12.75">
      <c r="A19" s="125">
        <v>13</v>
      </c>
      <c r="B19" s="149" t="s">
        <v>164</v>
      </c>
      <c r="C19" s="149">
        <v>16</v>
      </c>
      <c r="D19" s="149">
        <v>72</v>
      </c>
      <c r="E19" s="149">
        <v>284</v>
      </c>
      <c r="F19" s="405">
        <f t="shared" si="0"/>
        <v>2904</v>
      </c>
      <c r="G19" s="149">
        <v>0</v>
      </c>
      <c r="H19" s="149">
        <v>0</v>
      </c>
      <c r="I19" s="405">
        <f t="shared" si="2"/>
        <v>300</v>
      </c>
      <c r="J19" s="405">
        <f t="shared" si="3"/>
        <v>2976</v>
      </c>
      <c r="K19" s="149">
        <v>412</v>
      </c>
      <c r="L19" s="149">
        <v>1959</v>
      </c>
      <c r="M19" s="149">
        <v>4310</v>
      </c>
      <c r="N19" s="405">
        <f t="shared" si="1"/>
        <v>9864</v>
      </c>
      <c r="O19" s="149">
        <v>0</v>
      </c>
      <c r="P19" s="149">
        <v>0</v>
      </c>
      <c r="Q19" s="405">
        <f t="shared" si="4"/>
        <v>4722</v>
      </c>
      <c r="R19" s="405">
        <f t="shared" si="5"/>
        <v>11823</v>
      </c>
      <c r="S19" s="149">
        <v>724</v>
      </c>
      <c r="T19" s="149">
        <v>1379</v>
      </c>
      <c r="U19" s="125">
        <v>13</v>
      </c>
      <c r="V19" s="398">
        <v>11823</v>
      </c>
      <c r="W19" s="398">
        <v>2976</v>
      </c>
    </row>
    <row r="20" spans="1:23" ht="12.75">
      <c r="A20" s="125">
        <v>14</v>
      </c>
      <c r="B20" s="149" t="s">
        <v>77</v>
      </c>
      <c r="C20" s="149">
        <v>135</v>
      </c>
      <c r="D20" s="149">
        <v>1798</v>
      </c>
      <c r="E20" s="149">
        <v>183</v>
      </c>
      <c r="F20" s="405">
        <f t="shared" si="0"/>
        <v>3613</v>
      </c>
      <c r="G20" s="149">
        <v>3</v>
      </c>
      <c r="H20" s="149">
        <v>4288</v>
      </c>
      <c r="I20" s="405">
        <f t="shared" si="2"/>
        <v>321</v>
      </c>
      <c r="J20" s="405">
        <f t="shared" si="3"/>
        <v>9699</v>
      </c>
      <c r="K20" s="149">
        <v>2022</v>
      </c>
      <c r="L20" s="149">
        <v>26780</v>
      </c>
      <c r="M20" s="149">
        <v>1077</v>
      </c>
      <c r="N20" s="405">
        <f t="shared" si="1"/>
        <v>14803</v>
      </c>
      <c r="O20" s="149">
        <v>81</v>
      </c>
      <c r="P20" s="149">
        <v>31288</v>
      </c>
      <c r="Q20" s="405">
        <f t="shared" si="4"/>
        <v>3180</v>
      </c>
      <c r="R20" s="405">
        <f t="shared" si="5"/>
        <v>72871</v>
      </c>
      <c r="S20" s="149">
        <v>5273</v>
      </c>
      <c r="T20" s="149">
        <v>26597</v>
      </c>
      <c r="U20" s="125">
        <v>14</v>
      </c>
      <c r="V20" s="398">
        <v>72871</v>
      </c>
      <c r="W20" s="398">
        <v>9699</v>
      </c>
    </row>
    <row r="21" spans="1:23" ht="12.75">
      <c r="A21" s="125">
        <v>15</v>
      </c>
      <c r="B21" s="149" t="s">
        <v>105</v>
      </c>
      <c r="C21" s="149">
        <v>0</v>
      </c>
      <c r="D21" s="149">
        <v>0</v>
      </c>
      <c r="E21" s="149">
        <v>192</v>
      </c>
      <c r="F21" s="405">
        <f t="shared" si="0"/>
        <v>468</v>
      </c>
      <c r="G21" s="149">
        <v>0</v>
      </c>
      <c r="H21" s="149">
        <v>0</v>
      </c>
      <c r="I21" s="405">
        <f t="shared" si="2"/>
        <v>192</v>
      </c>
      <c r="J21" s="405">
        <f t="shared" si="3"/>
        <v>468</v>
      </c>
      <c r="K21" s="149">
        <v>361</v>
      </c>
      <c r="L21" s="149">
        <v>2677</v>
      </c>
      <c r="M21" s="149">
        <v>1632</v>
      </c>
      <c r="N21" s="405">
        <f t="shared" si="1"/>
        <v>2775</v>
      </c>
      <c r="O21" s="149">
        <v>0</v>
      </c>
      <c r="P21" s="149">
        <v>0</v>
      </c>
      <c r="Q21" s="405">
        <f t="shared" si="4"/>
        <v>1993</v>
      </c>
      <c r="R21" s="405">
        <f t="shared" si="5"/>
        <v>5452</v>
      </c>
      <c r="S21" s="149">
        <v>344</v>
      </c>
      <c r="T21" s="149">
        <v>2163</v>
      </c>
      <c r="U21" s="125">
        <v>15</v>
      </c>
      <c r="V21" s="398">
        <v>5452</v>
      </c>
      <c r="W21" s="398">
        <v>468</v>
      </c>
    </row>
    <row r="22" spans="1:23" ht="12.75">
      <c r="A22" s="110">
        <v>16</v>
      </c>
      <c r="B22" s="111" t="s">
        <v>20</v>
      </c>
      <c r="C22" s="111">
        <v>102</v>
      </c>
      <c r="D22" s="111">
        <v>92</v>
      </c>
      <c r="E22" s="111">
        <v>143</v>
      </c>
      <c r="F22" s="405">
        <f t="shared" si="0"/>
        <v>384</v>
      </c>
      <c r="G22" s="111">
        <v>27</v>
      </c>
      <c r="H22" s="111">
        <v>55</v>
      </c>
      <c r="I22" s="405">
        <f t="shared" si="2"/>
        <v>272</v>
      </c>
      <c r="J22" s="405">
        <f t="shared" si="3"/>
        <v>531</v>
      </c>
      <c r="K22" s="111">
        <v>863</v>
      </c>
      <c r="L22" s="111">
        <v>19943</v>
      </c>
      <c r="M22" s="111">
        <v>1783</v>
      </c>
      <c r="N22" s="405">
        <f t="shared" si="1"/>
        <v>9145</v>
      </c>
      <c r="O22" s="111">
        <v>1409</v>
      </c>
      <c r="P22" s="111">
        <v>5591</v>
      </c>
      <c r="Q22" s="405">
        <f t="shared" si="4"/>
        <v>4055</v>
      </c>
      <c r="R22" s="405">
        <f t="shared" si="5"/>
        <v>34679</v>
      </c>
      <c r="S22" s="111">
        <v>449</v>
      </c>
      <c r="T22" s="111">
        <v>5018</v>
      </c>
      <c r="U22" s="110">
        <v>16</v>
      </c>
      <c r="V22" s="398">
        <v>34679</v>
      </c>
      <c r="W22" s="398">
        <v>531</v>
      </c>
    </row>
    <row r="23" spans="1:23" ht="12.75">
      <c r="A23" s="125">
        <v>17</v>
      </c>
      <c r="B23" s="149" t="s">
        <v>21</v>
      </c>
      <c r="C23" s="149">
        <v>250</v>
      </c>
      <c r="D23" s="149">
        <v>4006</v>
      </c>
      <c r="E23" s="149">
        <v>1036</v>
      </c>
      <c r="F23" s="405">
        <f t="shared" si="0"/>
        <v>3897</v>
      </c>
      <c r="G23" s="149">
        <v>7</v>
      </c>
      <c r="H23" s="149">
        <v>1044</v>
      </c>
      <c r="I23" s="405">
        <f t="shared" si="2"/>
        <v>1293</v>
      </c>
      <c r="J23" s="405">
        <f t="shared" si="3"/>
        <v>8947</v>
      </c>
      <c r="K23" s="149">
        <v>3005</v>
      </c>
      <c r="L23" s="149">
        <v>17812</v>
      </c>
      <c r="M23" s="149">
        <v>26523</v>
      </c>
      <c r="N23" s="405">
        <f t="shared" si="1"/>
        <v>30476</v>
      </c>
      <c r="O23" s="149">
        <v>8</v>
      </c>
      <c r="P23" s="149">
        <v>3781</v>
      </c>
      <c r="Q23" s="405">
        <f t="shared" si="4"/>
        <v>29536</v>
      </c>
      <c r="R23" s="405">
        <f t="shared" si="5"/>
        <v>52069</v>
      </c>
      <c r="S23" s="149">
        <v>4209</v>
      </c>
      <c r="T23" s="149">
        <v>9614</v>
      </c>
      <c r="U23" s="125">
        <v>17</v>
      </c>
      <c r="V23" s="398">
        <v>52069</v>
      </c>
      <c r="W23" s="398">
        <v>8947</v>
      </c>
    </row>
    <row r="24" spans="1:23" ht="12.75">
      <c r="A24" s="125">
        <v>18</v>
      </c>
      <c r="B24" s="149" t="s">
        <v>19</v>
      </c>
      <c r="C24" s="149">
        <v>87</v>
      </c>
      <c r="D24" s="149">
        <v>233</v>
      </c>
      <c r="E24" s="149">
        <v>0</v>
      </c>
      <c r="F24" s="405">
        <f t="shared" si="0"/>
        <v>0</v>
      </c>
      <c r="G24" s="149">
        <v>5</v>
      </c>
      <c r="H24" s="149">
        <v>20</v>
      </c>
      <c r="I24" s="405">
        <f t="shared" si="2"/>
        <v>92</v>
      </c>
      <c r="J24" s="405">
        <f t="shared" si="3"/>
        <v>253</v>
      </c>
      <c r="K24" s="149">
        <v>87</v>
      </c>
      <c r="L24" s="149">
        <v>391</v>
      </c>
      <c r="M24" s="149">
        <v>110</v>
      </c>
      <c r="N24" s="405">
        <f t="shared" si="1"/>
        <v>173</v>
      </c>
      <c r="O24" s="149">
        <v>5</v>
      </c>
      <c r="P24" s="149">
        <v>36</v>
      </c>
      <c r="Q24" s="405">
        <f t="shared" si="4"/>
        <v>202</v>
      </c>
      <c r="R24" s="405">
        <f t="shared" si="5"/>
        <v>600</v>
      </c>
      <c r="S24" s="149">
        <v>4</v>
      </c>
      <c r="T24" s="149">
        <v>17</v>
      </c>
      <c r="U24" s="125">
        <v>18</v>
      </c>
      <c r="V24" s="398">
        <v>600</v>
      </c>
      <c r="W24" s="398">
        <v>253</v>
      </c>
    </row>
    <row r="25" spans="1:23" ht="12.75">
      <c r="A25" s="125">
        <v>19</v>
      </c>
      <c r="B25" s="149" t="s">
        <v>124</v>
      </c>
      <c r="C25" s="149">
        <v>20</v>
      </c>
      <c r="D25" s="149">
        <v>228</v>
      </c>
      <c r="E25" s="149">
        <v>114</v>
      </c>
      <c r="F25" s="405">
        <f t="shared" si="0"/>
        <v>394</v>
      </c>
      <c r="G25" s="149">
        <v>0</v>
      </c>
      <c r="H25" s="149">
        <v>0</v>
      </c>
      <c r="I25" s="405">
        <f t="shared" si="2"/>
        <v>134</v>
      </c>
      <c r="J25" s="405">
        <f t="shared" si="3"/>
        <v>622</v>
      </c>
      <c r="K25" s="149">
        <v>112</v>
      </c>
      <c r="L25" s="149">
        <v>1088</v>
      </c>
      <c r="M25" s="149">
        <v>872</v>
      </c>
      <c r="N25" s="405">
        <f t="shared" si="1"/>
        <v>2295</v>
      </c>
      <c r="O25" s="149">
        <v>1</v>
      </c>
      <c r="P25" s="149">
        <v>185</v>
      </c>
      <c r="Q25" s="405">
        <f t="shared" si="4"/>
        <v>985</v>
      </c>
      <c r="R25" s="405">
        <f>L25+N25+P25</f>
        <v>3568</v>
      </c>
      <c r="S25" s="149">
        <v>0</v>
      </c>
      <c r="T25" s="149">
        <v>0</v>
      </c>
      <c r="U25" s="125">
        <v>19</v>
      </c>
      <c r="V25" s="398">
        <v>3568</v>
      </c>
      <c r="W25" s="398">
        <v>622</v>
      </c>
    </row>
    <row r="26" spans="1:23" ht="12.75">
      <c r="A26" s="125"/>
      <c r="B26" s="150" t="s">
        <v>224</v>
      </c>
      <c r="C26" s="150">
        <f aca="true" t="shared" si="6" ref="C26:I26">SUM(C7:C25)</f>
        <v>4293</v>
      </c>
      <c r="D26" s="150">
        <f t="shared" si="6"/>
        <v>24860</v>
      </c>
      <c r="E26" s="150">
        <f t="shared" si="6"/>
        <v>6018</v>
      </c>
      <c r="F26" s="406">
        <f t="shared" si="6"/>
        <v>33585</v>
      </c>
      <c r="G26" s="150">
        <f t="shared" si="6"/>
        <v>58</v>
      </c>
      <c r="H26" s="150">
        <f t="shared" si="6"/>
        <v>5685</v>
      </c>
      <c r="I26" s="406">
        <f t="shared" si="6"/>
        <v>10369</v>
      </c>
      <c r="J26" s="406">
        <f>SUM(J7:J25)</f>
        <v>64130</v>
      </c>
      <c r="K26" s="150">
        <f aca="true" t="shared" si="7" ref="K26:T26">SUM(K7:K25)</f>
        <v>30884</v>
      </c>
      <c r="L26" s="150">
        <f t="shared" si="7"/>
        <v>201491</v>
      </c>
      <c r="M26" s="150">
        <f t="shared" si="7"/>
        <v>122087</v>
      </c>
      <c r="N26" s="406">
        <f t="shared" si="7"/>
        <v>204978</v>
      </c>
      <c r="O26" s="150">
        <f t="shared" si="7"/>
        <v>1745</v>
      </c>
      <c r="P26" s="150">
        <f t="shared" si="7"/>
        <v>53787</v>
      </c>
      <c r="Q26" s="406">
        <f t="shared" si="7"/>
        <v>157865</v>
      </c>
      <c r="R26" s="406">
        <f t="shared" si="7"/>
        <v>460256</v>
      </c>
      <c r="S26" s="150">
        <f t="shared" si="7"/>
        <v>34862</v>
      </c>
      <c r="T26" s="150">
        <f t="shared" si="7"/>
        <v>127239</v>
      </c>
      <c r="U26" s="125"/>
      <c r="V26" s="564">
        <f>SUM(V7:V25)</f>
        <v>460256</v>
      </c>
      <c r="W26" s="564">
        <f>SUM(W7:W25)</f>
        <v>64130</v>
      </c>
    </row>
    <row r="27" spans="1:23" ht="12.75">
      <c r="A27" s="54">
        <v>20</v>
      </c>
      <c r="B27" s="149" t="s">
        <v>23</v>
      </c>
      <c r="C27" s="149">
        <v>0</v>
      </c>
      <c r="D27" s="149">
        <v>0</v>
      </c>
      <c r="E27" s="149">
        <v>0</v>
      </c>
      <c r="F27" s="405">
        <f aca="true" t="shared" si="8" ref="F27:F47">W27-D27-H27</f>
        <v>0</v>
      </c>
      <c r="G27" s="149">
        <v>0</v>
      </c>
      <c r="H27" s="149">
        <v>0</v>
      </c>
      <c r="I27" s="405">
        <f aca="true" t="shared" si="9" ref="I27:I33">C27+E27+G27</f>
        <v>0</v>
      </c>
      <c r="J27" s="405">
        <f aca="true" t="shared" si="10" ref="J27:J33">D27+F27+H27</f>
        <v>0</v>
      </c>
      <c r="K27" s="149">
        <v>0</v>
      </c>
      <c r="L27" s="149">
        <v>0</v>
      </c>
      <c r="M27" s="149">
        <v>2</v>
      </c>
      <c r="N27" s="405">
        <f t="shared" si="1"/>
        <v>1131</v>
      </c>
      <c r="O27" s="149">
        <v>0</v>
      </c>
      <c r="P27" s="149">
        <v>0</v>
      </c>
      <c r="Q27" s="405">
        <f aca="true" t="shared" si="11" ref="Q27:Q33">K27+M27+O27</f>
        <v>2</v>
      </c>
      <c r="R27" s="405">
        <f aca="true" t="shared" si="12" ref="R27:R33">L27+N27+P27</f>
        <v>1131</v>
      </c>
      <c r="S27" s="149">
        <v>58</v>
      </c>
      <c r="T27" s="149">
        <v>447</v>
      </c>
      <c r="U27" s="54">
        <v>20</v>
      </c>
      <c r="V27" s="398">
        <v>1131</v>
      </c>
      <c r="W27" s="398">
        <v>0</v>
      </c>
    </row>
    <row r="28" spans="1:23" ht="12.75">
      <c r="A28" s="54">
        <v>21</v>
      </c>
      <c r="B28" s="149" t="s">
        <v>269</v>
      </c>
      <c r="C28" s="149">
        <v>0</v>
      </c>
      <c r="D28" s="149">
        <v>0</v>
      </c>
      <c r="E28" s="149">
        <v>3</v>
      </c>
      <c r="F28" s="405">
        <f t="shared" si="8"/>
        <v>5</v>
      </c>
      <c r="G28" s="149">
        <v>0</v>
      </c>
      <c r="H28" s="149">
        <v>0</v>
      </c>
      <c r="I28" s="405">
        <f t="shared" si="9"/>
        <v>3</v>
      </c>
      <c r="J28" s="405">
        <f t="shared" si="10"/>
        <v>5</v>
      </c>
      <c r="K28" s="149">
        <v>61</v>
      </c>
      <c r="L28" s="149">
        <v>385</v>
      </c>
      <c r="M28" s="149">
        <v>28</v>
      </c>
      <c r="N28" s="405">
        <f t="shared" si="1"/>
        <v>55</v>
      </c>
      <c r="O28" s="149">
        <v>0</v>
      </c>
      <c r="P28" s="149">
        <v>0</v>
      </c>
      <c r="Q28" s="405">
        <f t="shared" si="11"/>
        <v>89</v>
      </c>
      <c r="R28" s="405">
        <f t="shared" si="12"/>
        <v>440</v>
      </c>
      <c r="S28" s="149">
        <v>0</v>
      </c>
      <c r="T28" s="149">
        <v>0</v>
      </c>
      <c r="U28" s="54">
        <v>21</v>
      </c>
      <c r="V28" s="398">
        <v>440</v>
      </c>
      <c r="W28" s="398">
        <v>5</v>
      </c>
    </row>
    <row r="29" spans="1:23" ht="12.75">
      <c r="A29" s="54">
        <v>22</v>
      </c>
      <c r="B29" s="149" t="s">
        <v>169</v>
      </c>
      <c r="C29" s="149">
        <v>3</v>
      </c>
      <c r="D29" s="149">
        <v>300</v>
      </c>
      <c r="E29" s="149">
        <v>25</v>
      </c>
      <c r="F29" s="405">
        <f t="shared" si="8"/>
        <v>351</v>
      </c>
      <c r="G29" s="149">
        <v>0</v>
      </c>
      <c r="H29" s="149">
        <v>0</v>
      </c>
      <c r="I29" s="405">
        <f t="shared" si="9"/>
        <v>28</v>
      </c>
      <c r="J29" s="405">
        <f t="shared" si="10"/>
        <v>651</v>
      </c>
      <c r="K29" s="149">
        <v>131</v>
      </c>
      <c r="L29" s="149">
        <v>694</v>
      </c>
      <c r="M29" s="149">
        <v>244</v>
      </c>
      <c r="N29" s="405">
        <f t="shared" si="1"/>
        <v>323</v>
      </c>
      <c r="O29" s="149">
        <v>0</v>
      </c>
      <c r="P29" s="149">
        <v>0</v>
      </c>
      <c r="Q29" s="405">
        <f t="shared" si="11"/>
        <v>375</v>
      </c>
      <c r="R29" s="405">
        <f t="shared" si="12"/>
        <v>1017</v>
      </c>
      <c r="S29" s="149">
        <v>0</v>
      </c>
      <c r="T29" s="149">
        <v>0</v>
      </c>
      <c r="U29" s="54">
        <v>22</v>
      </c>
      <c r="V29" s="398">
        <v>1017</v>
      </c>
      <c r="W29" s="398">
        <v>651</v>
      </c>
    </row>
    <row r="30" spans="1:23" ht="12.75">
      <c r="A30" s="54">
        <v>23</v>
      </c>
      <c r="B30" s="149" t="s">
        <v>22</v>
      </c>
      <c r="C30" s="149">
        <v>17</v>
      </c>
      <c r="D30" s="149">
        <v>607</v>
      </c>
      <c r="E30" s="149">
        <v>12</v>
      </c>
      <c r="F30" s="405">
        <f t="shared" si="8"/>
        <v>374</v>
      </c>
      <c r="G30" s="149">
        <v>0</v>
      </c>
      <c r="H30" s="149">
        <v>0</v>
      </c>
      <c r="I30" s="405">
        <f t="shared" si="9"/>
        <v>29</v>
      </c>
      <c r="J30" s="405">
        <f t="shared" si="10"/>
        <v>981</v>
      </c>
      <c r="K30" s="149">
        <v>64</v>
      </c>
      <c r="L30" s="149">
        <v>3397</v>
      </c>
      <c r="M30" s="149">
        <v>82</v>
      </c>
      <c r="N30" s="405">
        <f t="shared" si="1"/>
        <v>459</v>
      </c>
      <c r="O30" s="149">
        <v>0</v>
      </c>
      <c r="P30" s="149">
        <v>0</v>
      </c>
      <c r="Q30" s="405">
        <f t="shared" si="11"/>
        <v>146</v>
      </c>
      <c r="R30" s="405">
        <f t="shared" si="12"/>
        <v>3856</v>
      </c>
      <c r="S30" s="149">
        <v>57</v>
      </c>
      <c r="T30" s="149">
        <v>302</v>
      </c>
      <c r="U30" s="54">
        <v>23</v>
      </c>
      <c r="V30" s="398">
        <v>3856</v>
      </c>
      <c r="W30" s="398">
        <v>981</v>
      </c>
    </row>
    <row r="31" spans="1:23" ht="12.75">
      <c r="A31" s="54">
        <v>24</v>
      </c>
      <c r="B31" s="111" t="s">
        <v>141</v>
      </c>
      <c r="C31" s="111">
        <v>0</v>
      </c>
      <c r="D31" s="111">
        <v>0</v>
      </c>
      <c r="E31" s="111">
        <v>50</v>
      </c>
      <c r="F31" s="405">
        <f t="shared" si="8"/>
        <v>642</v>
      </c>
      <c r="G31" s="111">
        <v>0</v>
      </c>
      <c r="H31" s="111">
        <v>0</v>
      </c>
      <c r="I31" s="405">
        <f t="shared" si="9"/>
        <v>50</v>
      </c>
      <c r="J31" s="405">
        <f t="shared" si="10"/>
        <v>642</v>
      </c>
      <c r="K31" s="111">
        <v>0</v>
      </c>
      <c r="L31" s="111">
        <v>0</v>
      </c>
      <c r="M31" s="111">
        <v>65</v>
      </c>
      <c r="N31" s="405">
        <f t="shared" si="1"/>
        <v>2337</v>
      </c>
      <c r="O31" s="111">
        <v>0</v>
      </c>
      <c r="P31" s="111">
        <v>0</v>
      </c>
      <c r="Q31" s="405">
        <f t="shared" si="11"/>
        <v>65</v>
      </c>
      <c r="R31" s="405">
        <f t="shared" si="12"/>
        <v>2337</v>
      </c>
      <c r="S31" s="111">
        <v>21</v>
      </c>
      <c r="T31" s="111">
        <v>913</v>
      </c>
      <c r="U31" s="54">
        <v>24</v>
      </c>
      <c r="V31" s="398">
        <v>2337</v>
      </c>
      <c r="W31" s="398">
        <v>642</v>
      </c>
    </row>
    <row r="32" spans="1:23" ht="12.75">
      <c r="A32" s="54">
        <v>25</v>
      </c>
      <c r="B32" s="149" t="s">
        <v>18</v>
      </c>
      <c r="C32" s="149">
        <v>614</v>
      </c>
      <c r="D32" s="149">
        <v>8833</v>
      </c>
      <c r="E32" s="149">
        <v>4540</v>
      </c>
      <c r="F32" s="405">
        <f t="shared" si="8"/>
        <v>11128</v>
      </c>
      <c r="G32" s="149">
        <v>3</v>
      </c>
      <c r="H32" s="149">
        <v>2225</v>
      </c>
      <c r="I32" s="405">
        <f t="shared" si="9"/>
        <v>5157</v>
      </c>
      <c r="J32" s="405">
        <f t="shared" si="10"/>
        <v>22186</v>
      </c>
      <c r="K32" s="149">
        <v>6980</v>
      </c>
      <c r="L32" s="149">
        <v>78791</v>
      </c>
      <c r="M32" s="149">
        <v>51435</v>
      </c>
      <c r="N32" s="405">
        <f t="shared" si="1"/>
        <v>70841</v>
      </c>
      <c r="O32" s="149">
        <v>3</v>
      </c>
      <c r="P32" s="149">
        <v>1687</v>
      </c>
      <c r="Q32" s="405">
        <f t="shared" si="11"/>
        <v>58418</v>
      </c>
      <c r="R32" s="405">
        <f t="shared" si="12"/>
        <v>151319</v>
      </c>
      <c r="S32" s="149">
        <v>51888</v>
      </c>
      <c r="T32" s="149">
        <v>66293</v>
      </c>
      <c r="U32" s="54">
        <v>25</v>
      </c>
      <c r="V32" s="398">
        <v>151319</v>
      </c>
      <c r="W32" s="398">
        <v>22186</v>
      </c>
    </row>
    <row r="33" spans="1:23" ht="12.75">
      <c r="A33" s="54">
        <v>26</v>
      </c>
      <c r="B33" s="149" t="s">
        <v>104</v>
      </c>
      <c r="C33" s="149">
        <v>369</v>
      </c>
      <c r="D33" s="149">
        <v>3231</v>
      </c>
      <c r="E33" s="149">
        <v>3521</v>
      </c>
      <c r="F33" s="405">
        <f t="shared" si="8"/>
        <v>9803</v>
      </c>
      <c r="G33" s="149">
        <v>88</v>
      </c>
      <c r="H33" s="149">
        <v>2952</v>
      </c>
      <c r="I33" s="405">
        <f t="shared" si="9"/>
        <v>3978</v>
      </c>
      <c r="J33" s="405">
        <f t="shared" si="10"/>
        <v>15986</v>
      </c>
      <c r="K33" s="149">
        <v>7343</v>
      </c>
      <c r="L33" s="149">
        <v>79152</v>
      </c>
      <c r="M33" s="149">
        <v>45635</v>
      </c>
      <c r="N33" s="405">
        <f t="shared" si="1"/>
        <v>116875</v>
      </c>
      <c r="O33" s="149">
        <v>261</v>
      </c>
      <c r="P33" s="149">
        <v>19430</v>
      </c>
      <c r="Q33" s="405">
        <f t="shared" si="11"/>
        <v>53239</v>
      </c>
      <c r="R33" s="405">
        <f t="shared" si="12"/>
        <v>215457</v>
      </c>
      <c r="S33" s="149">
        <v>10501</v>
      </c>
      <c r="T33" s="149">
        <v>40919</v>
      </c>
      <c r="U33" s="54">
        <v>26</v>
      </c>
      <c r="V33" s="398">
        <v>215457</v>
      </c>
      <c r="W33" s="398">
        <v>15986</v>
      </c>
    </row>
    <row r="34" spans="1:23" ht="12.75">
      <c r="A34" s="125"/>
      <c r="B34" s="150" t="s">
        <v>226</v>
      </c>
      <c r="C34" s="150">
        <f aca="true" t="shared" si="13" ref="C34:J34">SUM(C27:C33)</f>
        <v>1003</v>
      </c>
      <c r="D34" s="150">
        <f t="shared" si="13"/>
        <v>12971</v>
      </c>
      <c r="E34" s="150">
        <f t="shared" si="13"/>
        <v>8151</v>
      </c>
      <c r="F34" s="406">
        <f t="shared" si="13"/>
        <v>22303</v>
      </c>
      <c r="G34" s="150">
        <f t="shared" si="13"/>
        <v>91</v>
      </c>
      <c r="H34" s="150">
        <f t="shared" si="13"/>
        <v>5177</v>
      </c>
      <c r="I34" s="406">
        <f t="shared" si="13"/>
        <v>9245</v>
      </c>
      <c r="J34" s="406">
        <f t="shared" si="13"/>
        <v>40451</v>
      </c>
      <c r="K34" s="150">
        <f aca="true" t="shared" si="14" ref="K34:T34">SUM(K27:K33)</f>
        <v>14579</v>
      </c>
      <c r="L34" s="150">
        <f>SUM(L27:L33)</f>
        <v>162419</v>
      </c>
      <c r="M34" s="150">
        <f t="shared" si="14"/>
        <v>97491</v>
      </c>
      <c r="N34" s="406">
        <f t="shared" si="14"/>
        <v>192021</v>
      </c>
      <c r="O34" s="150">
        <f t="shared" si="14"/>
        <v>264</v>
      </c>
      <c r="P34" s="150">
        <f t="shared" si="14"/>
        <v>21117</v>
      </c>
      <c r="Q34" s="150">
        <f t="shared" si="14"/>
        <v>112334</v>
      </c>
      <c r="R34" s="150">
        <f t="shared" si="14"/>
        <v>375557</v>
      </c>
      <c r="S34" s="150">
        <f t="shared" si="14"/>
        <v>62525</v>
      </c>
      <c r="T34" s="150">
        <f t="shared" si="14"/>
        <v>108874</v>
      </c>
      <c r="U34" s="125"/>
      <c r="V34" s="564">
        <f>SUM(V27:V33)</f>
        <v>375557</v>
      </c>
      <c r="W34" s="564">
        <f>SUM(W27:W33)</f>
        <v>40451</v>
      </c>
    </row>
    <row r="35" spans="1:23" ht="12.75">
      <c r="A35" s="54">
        <v>27</v>
      </c>
      <c r="B35" s="149" t="s">
        <v>163</v>
      </c>
      <c r="C35" s="149">
        <v>0</v>
      </c>
      <c r="D35" s="149">
        <v>0</v>
      </c>
      <c r="E35" s="149">
        <v>44</v>
      </c>
      <c r="F35" s="405">
        <f t="shared" si="8"/>
        <v>120</v>
      </c>
      <c r="G35" s="149">
        <v>7</v>
      </c>
      <c r="H35" s="149">
        <v>16</v>
      </c>
      <c r="I35" s="405">
        <f aca="true" t="shared" si="15" ref="I35:I47">C35+E35+G35</f>
        <v>51</v>
      </c>
      <c r="J35" s="405">
        <f aca="true" t="shared" si="16" ref="J35:J47">D35+F35+H35</f>
        <v>136</v>
      </c>
      <c r="K35" s="149">
        <v>0</v>
      </c>
      <c r="L35" s="149">
        <v>0</v>
      </c>
      <c r="M35" s="149">
        <v>298</v>
      </c>
      <c r="N35" s="405">
        <f t="shared" si="1"/>
        <v>2649</v>
      </c>
      <c r="O35" s="149">
        <v>1315</v>
      </c>
      <c r="P35" s="149">
        <v>1743</v>
      </c>
      <c r="Q35" s="405">
        <f>K35+M35+O35</f>
        <v>1613</v>
      </c>
      <c r="R35" s="405">
        <f>L35+N35+P35</f>
        <v>4392</v>
      </c>
      <c r="S35" s="149">
        <v>0</v>
      </c>
      <c r="T35" s="149">
        <v>0</v>
      </c>
      <c r="U35" s="54">
        <v>28</v>
      </c>
      <c r="V35" s="398">
        <v>4392</v>
      </c>
      <c r="W35" s="398">
        <v>136</v>
      </c>
    </row>
    <row r="36" spans="1:23" s="604" customFormat="1" ht="12.75">
      <c r="A36" s="265">
        <v>28</v>
      </c>
      <c r="B36" s="405" t="s">
        <v>231</v>
      </c>
      <c r="C36" s="405">
        <v>307</v>
      </c>
      <c r="D36" s="405">
        <v>4867</v>
      </c>
      <c r="E36" s="405">
        <v>1419</v>
      </c>
      <c r="F36" s="405">
        <f t="shared" si="8"/>
        <v>12245</v>
      </c>
      <c r="G36" s="405">
        <v>150</v>
      </c>
      <c r="H36" s="405">
        <v>4425</v>
      </c>
      <c r="I36" s="405">
        <f t="shared" si="15"/>
        <v>1876</v>
      </c>
      <c r="J36" s="405">
        <f t="shared" si="16"/>
        <v>21537</v>
      </c>
      <c r="K36" s="405">
        <v>657</v>
      </c>
      <c r="L36" s="405">
        <v>6149</v>
      </c>
      <c r="M36" s="405">
        <v>6016</v>
      </c>
      <c r="N36" s="405">
        <f t="shared" si="1"/>
        <v>27845</v>
      </c>
      <c r="O36" s="405">
        <v>389</v>
      </c>
      <c r="P36" s="405">
        <v>9732</v>
      </c>
      <c r="Q36" s="405">
        <f aca="true" t="shared" si="17" ref="Q36:Q47">K36+M36+O36</f>
        <v>7062</v>
      </c>
      <c r="R36" s="405">
        <f aca="true" t="shared" si="18" ref="R36:R47">L36+N36+P36</f>
        <v>43726</v>
      </c>
      <c r="S36" s="405">
        <v>0</v>
      </c>
      <c r="T36" s="405">
        <v>0</v>
      </c>
      <c r="U36" s="265">
        <v>29</v>
      </c>
      <c r="V36" s="398">
        <v>43726</v>
      </c>
      <c r="W36" s="398">
        <v>21537</v>
      </c>
    </row>
    <row r="37" spans="1:23" ht="12.75">
      <c r="A37" s="54">
        <v>29</v>
      </c>
      <c r="B37" s="149" t="s">
        <v>218</v>
      </c>
      <c r="C37" s="149">
        <v>32</v>
      </c>
      <c r="D37" s="149">
        <v>331</v>
      </c>
      <c r="E37" s="149">
        <v>156</v>
      </c>
      <c r="F37" s="405">
        <f t="shared" si="8"/>
        <v>813</v>
      </c>
      <c r="G37" s="149">
        <v>6</v>
      </c>
      <c r="H37" s="149">
        <v>550</v>
      </c>
      <c r="I37" s="405">
        <f t="shared" si="15"/>
        <v>194</v>
      </c>
      <c r="J37" s="405">
        <f t="shared" si="16"/>
        <v>1694</v>
      </c>
      <c r="K37" s="149">
        <v>97</v>
      </c>
      <c r="L37" s="149">
        <v>2364</v>
      </c>
      <c r="M37" s="149">
        <v>2845</v>
      </c>
      <c r="N37" s="405">
        <f t="shared" si="1"/>
        <v>6777</v>
      </c>
      <c r="O37" s="149">
        <v>3</v>
      </c>
      <c r="P37" s="149">
        <v>378</v>
      </c>
      <c r="Q37" s="405">
        <f t="shared" si="17"/>
        <v>2945</v>
      </c>
      <c r="R37" s="405">
        <f t="shared" si="18"/>
        <v>9519</v>
      </c>
      <c r="S37" s="149">
        <v>0</v>
      </c>
      <c r="T37" s="149">
        <v>0</v>
      </c>
      <c r="U37" s="54">
        <v>30</v>
      </c>
      <c r="V37" s="398">
        <v>9519</v>
      </c>
      <c r="W37" s="398">
        <v>1694</v>
      </c>
    </row>
    <row r="38" spans="1:23" ht="12.75">
      <c r="A38" s="54">
        <v>30</v>
      </c>
      <c r="B38" s="149" t="s">
        <v>236</v>
      </c>
      <c r="C38" s="149">
        <v>8</v>
      </c>
      <c r="D38" s="149">
        <v>116</v>
      </c>
      <c r="E38" s="149">
        <v>14</v>
      </c>
      <c r="F38" s="405">
        <f t="shared" si="8"/>
        <v>11</v>
      </c>
      <c r="G38" s="149">
        <v>0</v>
      </c>
      <c r="H38" s="149">
        <v>0</v>
      </c>
      <c r="I38" s="405">
        <f t="shared" si="15"/>
        <v>22</v>
      </c>
      <c r="J38" s="405">
        <f t="shared" si="16"/>
        <v>127</v>
      </c>
      <c r="K38" s="149">
        <v>259</v>
      </c>
      <c r="L38" s="149">
        <v>2015</v>
      </c>
      <c r="M38" s="149">
        <v>436</v>
      </c>
      <c r="N38" s="405">
        <f t="shared" si="1"/>
        <v>4556</v>
      </c>
      <c r="O38" s="149">
        <v>30</v>
      </c>
      <c r="P38" s="149">
        <v>106</v>
      </c>
      <c r="Q38" s="405">
        <f t="shared" si="17"/>
        <v>725</v>
      </c>
      <c r="R38" s="405">
        <f t="shared" si="18"/>
        <v>6677</v>
      </c>
      <c r="S38" s="149">
        <v>0</v>
      </c>
      <c r="T38" s="149">
        <v>0</v>
      </c>
      <c r="U38" s="54">
        <v>31</v>
      </c>
      <c r="V38" s="398">
        <v>6677</v>
      </c>
      <c r="W38" s="398">
        <v>127</v>
      </c>
    </row>
    <row r="39" spans="1:23" ht="12.75">
      <c r="A39" s="54">
        <v>31</v>
      </c>
      <c r="B39" s="111" t="s">
        <v>219</v>
      </c>
      <c r="C39" s="111">
        <v>0</v>
      </c>
      <c r="D39" s="111">
        <v>0</v>
      </c>
      <c r="E39" s="111">
        <v>0</v>
      </c>
      <c r="F39" s="405">
        <f t="shared" si="8"/>
        <v>0</v>
      </c>
      <c r="G39" s="111">
        <v>0</v>
      </c>
      <c r="H39" s="111">
        <v>0</v>
      </c>
      <c r="I39" s="405">
        <f t="shared" si="15"/>
        <v>0</v>
      </c>
      <c r="J39" s="405">
        <f t="shared" si="16"/>
        <v>0</v>
      </c>
      <c r="K39" s="111">
        <v>0</v>
      </c>
      <c r="L39" s="111">
        <v>0</v>
      </c>
      <c r="M39" s="111">
        <v>0</v>
      </c>
      <c r="N39" s="405">
        <f t="shared" si="1"/>
        <v>0</v>
      </c>
      <c r="O39" s="111">
        <v>0</v>
      </c>
      <c r="P39" s="111">
        <v>0</v>
      </c>
      <c r="Q39" s="405">
        <f t="shared" si="17"/>
        <v>0</v>
      </c>
      <c r="R39" s="405">
        <f t="shared" si="18"/>
        <v>0</v>
      </c>
      <c r="S39" s="111">
        <v>1</v>
      </c>
      <c r="T39" s="111">
        <v>22</v>
      </c>
      <c r="U39" s="54">
        <v>32</v>
      </c>
      <c r="V39" s="398">
        <v>0</v>
      </c>
      <c r="W39" s="398">
        <v>0</v>
      </c>
    </row>
    <row r="40" spans="1:23" ht="12.75">
      <c r="A40" s="54">
        <v>32</v>
      </c>
      <c r="B40" s="149" t="s">
        <v>220</v>
      </c>
      <c r="C40" s="149">
        <v>0</v>
      </c>
      <c r="D40" s="149">
        <v>0</v>
      </c>
      <c r="E40" s="149">
        <v>10</v>
      </c>
      <c r="F40" s="405">
        <f t="shared" si="8"/>
        <v>330</v>
      </c>
      <c r="G40" s="149">
        <v>0</v>
      </c>
      <c r="H40" s="149">
        <v>0</v>
      </c>
      <c r="I40" s="405">
        <f t="shared" si="15"/>
        <v>10</v>
      </c>
      <c r="J40" s="405">
        <f t="shared" si="16"/>
        <v>330</v>
      </c>
      <c r="K40" s="149">
        <v>0</v>
      </c>
      <c r="L40" s="149">
        <v>0</v>
      </c>
      <c r="M40" s="149">
        <v>19</v>
      </c>
      <c r="N40" s="405">
        <f t="shared" si="1"/>
        <v>1116</v>
      </c>
      <c r="O40" s="149">
        <v>0</v>
      </c>
      <c r="P40" s="149">
        <v>0</v>
      </c>
      <c r="Q40" s="405">
        <f t="shared" si="17"/>
        <v>19</v>
      </c>
      <c r="R40" s="405">
        <f t="shared" si="18"/>
        <v>1116</v>
      </c>
      <c r="S40" s="149">
        <v>0</v>
      </c>
      <c r="T40" s="149">
        <v>0</v>
      </c>
      <c r="U40" s="54">
        <v>33</v>
      </c>
      <c r="V40" s="398">
        <v>1116</v>
      </c>
      <c r="W40" s="398">
        <v>330</v>
      </c>
    </row>
    <row r="41" spans="1:23" ht="12.75">
      <c r="A41" s="110">
        <v>33</v>
      </c>
      <c r="B41" s="149" t="s">
        <v>363</v>
      </c>
      <c r="C41" s="149">
        <v>12</v>
      </c>
      <c r="D41" s="149">
        <v>60</v>
      </c>
      <c r="E41" s="149">
        <v>5</v>
      </c>
      <c r="F41" s="405">
        <f t="shared" si="8"/>
        <v>62</v>
      </c>
      <c r="G41" s="149">
        <v>0</v>
      </c>
      <c r="H41" s="149">
        <v>0</v>
      </c>
      <c r="I41" s="405">
        <f t="shared" si="15"/>
        <v>17</v>
      </c>
      <c r="J41" s="405">
        <f t="shared" si="16"/>
        <v>122</v>
      </c>
      <c r="K41" s="149">
        <v>12</v>
      </c>
      <c r="L41" s="149">
        <v>49</v>
      </c>
      <c r="M41" s="149">
        <v>2</v>
      </c>
      <c r="N41" s="405">
        <f t="shared" si="1"/>
        <v>9</v>
      </c>
      <c r="O41" s="149">
        <v>0</v>
      </c>
      <c r="P41" s="149">
        <v>0</v>
      </c>
      <c r="Q41" s="405">
        <f t="shared" si="17"/>
        <v>14</v>
      </c>
      <c r="R41" s="405">
        <f t="shared" si="18"/>
        <v>58</v>
      </c>
      <c r="S41" s="149">
        <v>0</v>
      </c>
      <c r="T41" s="149">
        <v>0</v>
      </c>
      <c r="U41" s="110">
        <v>34</v>
      </c>
      <c r="V41" s="398">
        <v>58</v>
      </c>
      <c r="W41" s="398">
        <v>122</v>
      </c>
    </row>
    <row r="42" spans="1:23" ht="12.75">
      <c r="A42" s="54">
        <v>34</v>
      </c>
      <c r="B42" s="57" t="s">
        <v>242</v>
      </c>
      <c r="C42" s="111">
        <v>0</v>
      </c>
      <c r="D42" s="111">
        <v>0</v>
      </c>
      <c r="E42" s="111">
        <v>0</v>
      </c>
      <c r="F42" s="405">
        <f t="shared" si="8"/>
        <v>0</v>
      </c>
      <c r="G42" s="111">
        <v>0</v>
      </c>
      <c r="H42" s="111">
        <v>0</v>
      </c>
      <c r="I42" s="405">
        <f t="shared" si="15"/>
        <v>0</v>
      </c>
      <c r="J42" s="405">
        <f t="shared" si="16"/>
        <v>0</v>
      </c>
      <c r="K42" s="111">
        <v>0</v>
      </c>
      <c r="L42" s="111">
        <v>0</v>
      </c>
      <c r="M42" s="111">
        <v>0</v>
      </c>
      <c r="N42" s="405">
        <f t="shared" si="1"/>
        <v>0</v>
      </c>
      <c r="O42" s="111">
        <v>0</v>
      </c>
      <c r="P42" s="111">
        <v>0</v>
      </c>
      <c r="Q42" s="405">
        <f t="shared" si="17"/>
        <v>0</v>
      </c>
      <c r="R42" s="405">
        <f t="shared" si="18"/>
        <v>0</v>
      </c>
      <c r="S42" s="111">
        <v>9</v>
      </c>
      <c r="T42" s="111">
        <v>38</v>
      </c>
      <c r="U42" s="54">
        <v>35</v>
      </c>
      <c r="V42" s="398">
        <v>0</v>
      </c>
      <c r="W42" s="398">
        <v>0</v>
      </c>
    </row>
    <row r="43" spans="1:23" ht="12.75">
      <c r="A43" s="54">
        <v>35</v>
      </c>
      <c r="B43" s="116" t="s">
        <v>256</v>
      </c>
      <c r="C43" s="149">
        <v>0</v>
      </c>
      <c r="D43" s="149">
        <v>0</v>
      </c>
      <c r="E43" s="149">
        <v>15</v>
      </c>
      <c r="F43" s="405">
        <f t="shared" si="8"/>
        <v>112</v>
      </c>
      <c r="G43" s="149">
        <v>0</v>
      </c>
      <c r="H43" s="149">
        <v>0</v>
      </c>
      <c r="I43" s="405">
        <f t="shared" si="15"/>
        <v>15</v>
      </c>
      <c r="J43" s="405">
        <f t="shared" si="16"/>
        <v>112</v>
      </c>
      <c r="K43" s="149">
        <v>10</v>
      </c>
      <c r="L43" s="149">
        <v>37</v>
      </c>
      <c r="M43" s="149">
        <v>48</v>
      </c>
      <c r="N43" s="405">
        <f t="shared" si="1"/>
        <v>2076</v>
      </c>
      <c r="O43" s="149">
        <v>0</v>
      </c>
      <c r="P43" s="149">
        <v>0</v>
      </c>
      <c r="Q43" s="405">
        <f t="shared" si="17"/>
        <v>58</v>
      </c>
      <c r="R43" s="405">
        <f t="shared" si="18"/>
        <v>2113</v>
      </c>
      <c r="S43" s="149">
        <v>332</v>
      </c>
      <c r="T43" s="149">
        <v>706</v>
      </c>
      <c r="U43" s="54">
        <v>36</v>
      </c>
      <c r="V43" s="398">
        <v>2113</v>
      </c>
      <c r="W43" s="398">
        <v>112</v>
      </c>
    </row>
    <row r="44" spans="1:23" ht="12.75">
      <c r="A44" s="54">
        <v>36</v>
      </c>
      <c r="B44" s="116" t="s">
        <v>24</v>
      </c>
      <c r="C44" s="149">
        <v>37</v>
      </c>
      <c r="D44" s="149">
        <v>1083</v>
      </c>
      <c r="E44" s="149">
        <v>16</v>
      </c>
      <c r="F44" s="405">
        <f t="shared" si="8"/>
        <v>157</v>
      </c>
      <c r="G44" s="149">
        <v>0</v>
      </c>
      <c r="H44" s="149">
        <v>0</v>
      </c>
      <c r="I44" s="405">
        <f t="shared" si="15"/>
        <v>53</v>
      </c>
      <c r="J44" s="405">
        <f t="shared" si="16"/>
        <v>1240</v>
      </c>
      <c r="K44" s="149">
        <v>21</v>
      </c>
      <c r="L44" s="149">
        <v>339</v>
      </c>
      <c r="M44" s="149">
        <v>27</v>
      </c>
      <c r="N44" s="405">
        <f t="shared" si="1"/>
        <v>866</v>
      </c>
      <c r="O44" s="149">
        <v>0</v>
      </c>
      <c r="P44" s="149">
        <v>0</v>
      </c>
      <c r="Q44" s="405">
        <f t="shared" si="17"/>
        <v>48</v>
      </c>
      <c r="R44" s="405">
        <f>L44+N44+P44</f>
        <v>1205</v>
      </c>
      <c r="S44" s="149">
        <v>25</v>
      </c>
      <c r="T44" s="149">
        <v>202</v>
      </c>
      <c r="U44" s="54">
        <v>37</v>
      </c>
      <c r="V44" s="398">
        <v>1205</v>
      </c>
      <c r="W44" s="398">
        <v>1240</v>
      </c>
    </row>
    <row r="45" spans="1:23" ht="12.75">
      <c r="A45" s="54">
        <v>37</v>
      </c>
      <c r="B45" s="116" t="s">
        <v>223</v>
      </c>
      <c r="C45" s="149">
        <v>1</v>
      </c>
      <c r="D45" s="149">
        <v>10</v>
      </c>
      <c r="E45" s="149">
        <v>0</v>
      </c>
      <c r="F45" s="405">
        <f t="shared" si="8"/>
        <v>0</v>
      </c>
      <c r="G45" s="149">
        <v>0</v>
      </c>
      <c r="H45" s="149">
        <v>0</v>
      </c>
      <c r="I45" s="405">
        <f t="shared" si="15"/>
        <v>1</v>
      </c>
      <c r="J45" s="405">
        <f t="shared" si="16"/>
        <v>10</v>
      </c>
      <c r="K45" s="149"/>
      <c r="L45" s="149">
        <v>0</v>
      </c>
      <c r="M45" s="149">
        <v>0</v>
      </c>
      <c r="N45" s="405">
        <f t="shared" si="1"/>
        <v>0</v>
      </c>
      <c r="O45" s="149">
        <v>0</v>
      </c>
      <c r="P45" s="149">
        <v>0</v>
      </c>
      <c r="Q45" s="405">
        <f t="shared" si="17"/>
        <v>0</v>
      </c>
      <c r="R45" s="405">
        <f t="shared" si="18"/>
        <v>0</v>
      </c>
      <c r="S45" s="149">
        <v>0</v>
      </c>
      <c r="T45" s="149">
        <v>0</v>
      </c>
      <c r="U45" s="54">
        <v>38</v>
      </c>
      <c r="V45" s="398">
        <v>0</v>
      </c>
      <c r="W45" s="398">
        <v>10</v>
      </c>
    </row>
    <row r="46" spans="1:23" ht="12.75">
      <c r="A46" s="54">
        <v>38</v>
      </c>
      <c r="B46" s="116" t="s">
        <v>364</v>
      </c>
      <c r="C46" s="149">
        <v>0</v>
      </c>
      <c r="D46" s="149">
        <v>0</v>
      </c>
      <c r="E46" s="149">
        <v>1</v>
      </c>
      <c r="F46" s="405">
        <f t="shared" si="8"/>
        <v>8</v>
      </c>
      <c r="G46" s="149">
        <v>0</v>
      </c>
      <c r="H46" s="149">
        <v>0</v>
      </c>
      <c r="I46" s="405">
        <f t="shared" si="15"/>
        <v>1</v>
      </c>
      <c r="J46" s="405">
        <f t="shared" si="16"/>
        <v>8</v>
      </c>
      <c r="K46" s="149">
        <v>0</v>
      </c>
      <c r="L46" s="149">
        <v>0</v>
      </c>
      <c r="M46" s="149">
        <v>1</v>
      </c>
      <c r="N46" s="405">
        <f t="shared" si="1"/>
        <v>8</v>
      </c>
      <c r="O46" s="149">
        <v>0</v>
      </c>
      <c r="P46" s="149">
        <v>0</v>
      </c>
      <c r="Q46" s="405">
        <f t="shared" si="17"/>
        <v>1</v>
      </c>
      <c r="R46" s="405">
        <f t="shared" si="18"/>
        <v>8</v>
      </c>
      <c r="S46" s="149">
        <v>0</v>
      </c>
      <c r="T46" s="149">
        <v>0</v>
      </c>
      <c r="U46" s="54">
        <v>39</v>
      </c>
      <c r="V46" s="398">
        <v>8</v>
      </c>
      <c r="W46" s="398">
        <v>8</v>
      </c>
    </row>
    <row r="47" spans="1:23" ht="12.75">
      <c r="A47" s="54">
        <v>39</v>
      </c>
      <c r="B47" s="149" t="s">
        <v>366</v>
      </c>
      <c r="C47" s="149">
        <v>12</v>
      </c>
      <c r="D47" s="149">
        <v>1810</v>
      </c>
      <c r="E47" s="149">
        <v>0</v>
      </c>
      <c r="F47" s="405">
        <f t="shared" si="8"/>
        <v>0</v>
      </c>
      <c r="G47" s="149">
        <v>5</v>
      </c>
      <c r="H47" s="149">
        <v>4763</v>
      </c>
      <c r="I47" s="405">
        <f t="shared" si="15"/>
        <v>17</v>
      </c>
      <c r="J47" s="405">
        <f t="shared" si="16"/>
        <v>6573</v>
      </c>
      <c r="K47" s="149">
        <v>12</v>
      </c>
      <c r="L47" s="149">
        <v>2007</v>
      </c>
      <c r="M47" s="149">
        <v>17</v>
      </c>
      <c r="N47" s="405">
        <f t="shared" si="1"/>
        <v>9484</v>
      </c>
      <c r="O47" s="149">
        <v>5</v>
      </c>
      <c r="P47" s="149">
        <v>3118</v>
      </c>
      <c r="Q47" s="405">
        <f t="shared" si="17"/>
        <v>34</v>
      </c>
      <c r="R47" s="405">
        <f t="shared" si="18"/>
        <v>14609</v>
      </c>
      <c r="S47" s="149">
        <v>32</v>
      </c>
      <c r="T47" s="149">
        <v>890</v>
      </c>
      <c r="U47" s="54">
        <v>40</v>
      </c>
      <c r="V47" s="398">
        <v>14609</v>
      </c>
      <c r="W47" s="398">
        <v>6573</v>
      </c>
    </row>
    <row r="48" spans="1:24" ht="12.75">
      <c r="A48" s="125"/>
      <c r="B48" s="150" t="s">
        <v>225</v>
      </c>
      <c r="C48" s="150">
        <f>SUM(C35:C47)</f>
        <v>409</v>
      </c>
      <c r="D48" s="150">
        <f aca="true" t="shared" si="19" ref="D48:T48">SUM(D35:D47)</f>
        <v>8277</v>
      </c>
      <c r="E48" s="150">
        <f t="shared" si="19"/>
        <v>1680</v>
      </c>
      <c r="F48" s="150">
        <f t="shared" si="19"/>
        <v>13858</v>
      </c>
      <c r="G48" s="150">
        <f t="shared" si="19"/>
        <v>168</v>
      </c>
      <c r="H48" s="150">
        <f t="shared" si="19"/>
        <v>9754</v>
      </c>
      <c r="I48" s="150">
        <f t="shared" si="19"/>
        <v>2257</v>
      </c>
      <c r="J48" s="406">
        <f t="shared" si="19"/>
        <v>31889</v>
      </c>
      <c r="K48" s="150">
        <f t="shared" si="19"/>
        <v>1068</v>
      </c>
      <c r="L48" s="150">
        <f t="shared" si="19"/>
        <v>12960</v>
      </c>
      <c r="M48" s="150">
        <f t="shared" si="19"/>
        <v>9709</v>
      </c>
      <c r="N48" s="150">
        <f t="shared" si="19"/>
        <v>55386</v>
      </c>
      <c r="O48" s="150">
        <f t="shared" si="19"/>
        <v>1742</v>
      </c>
      <c r="P48" s="150">
        <f t="shared" si="19"/>
        <v>15077</v>
      </c>
      <c r="Q48" s="150">
        <f t="shared" si="19"/>
        <v>12519</v>
      </c>
      <c r="R48" s="150">
        <f t="shared" si="19"/>
        <v>83423</v>
      </c>
      <c r="S48" s="150">
        <f t="shared" si="19"/>
        <v>399</v>
      </c>
      <c r="T48" s="150">
        <f t="shared" si="19"/>
        <v>1858</v>
      </c>
      <c r="U48" s="125"/>
      <c r="V48" s="388">
        <f>SUM(V35:V47)</f>
        <v>83423</v>
      </c>
      <c r="W48" s="388">
        <f>SUM(W35:W47)</f>
        <v>31889</v>
      </c>
      <c r="X48" s="378"/>
    </row>
    <row r="49" spans="1:24" ht="12.75">
      <c r="A49" s="125"/>
      <c r="B49" s="122" t="s">
        <v>123</v>
      </c>
      <c r="C49" s="150">
        <f aca="true" t="shared" si="20" ref="C49:T49">C26+C34+C48</f>
        <v>5705</v>
      </c>
      <c r="D49" s="150">
        <f t="shared" si="20"/>
        <v>46108</v>
      </c>
      <c r="E49" s="150">
        <f t="shared" si="20"/>
        <v>15849</v>
      </c>
      <c r="F49" s="406">
        <f t="shared" si="20"/>
        <v>69746</v>
      </c>
      <c r="G49" s="150">
        <f t="shared" si="20"/>
        <v>317</v>
      </c>
      <c r="H49" s="150">
        <f t="shared" si="20"/>
        <v>20616</v>
      </c>
      <c r="I49" s="406">
        <f t="shared" si="20"/>
        <v>21871</v>
      </c>
      <c r="J49" s="406">
        <f t="shared" si="20"/>
        <v>136470</v>
      </c>
      <c r="K49" s="150">
        <f t="shared" si="20"/>
        <v>46531</v>
      </c>
      <c r="L49" s="150">
        <f t="shared" si="20"/>
        <v>376870</v>
      </c>
      <c r="M49" s="150">
        <f t="shared" si="20"/>
        <v>229287</v>
      </c>
      <c r="N49" s="406">
        <f t="shared" si="20"/>
        <v>452385</v>
      </c>
      <c r="O49" s="150">
        <f t="shared" si="20"/>
        <v>3751</v>
      </c>
      <c r="P49" s="150">
        <f t="shared" si="20"/>
        <v>89981</v>
      </c>
      <c r="Q49" s="406">
        <f t="shared" si="20"/>
        <v>282718</v>
      </c>
      <c r="R49" s="406">
        <f t="shared" si="20"/>
        <v>919236</v>
      </c>
      <c r="S49" s="150">
        <f t="shared" si="20"/>
        <v>97786</v>
      </c>
      <c r="T49" s="150">
        <f t="shared" si="20"/>
        <v>237971</v>
      </c>
      <c r="U49" s="125"/>
      <c r="V49" s="388">
        <f>V26+V34+V48</f>
        <v>919236</v>
      </c>
      <c r="W49" s="388">
        <f>W26+W34+W48</f>
        <v>136470</v>
      </c>
      <c r="X49" s="378"/>
    </row>
    <row r="50" spans="1:22" ht="18" customHeight="1">
      <c r="A50" s="400"/>
      <c r="B50" s="171"/>
      <c r="C50" s="172"/>
      <c r="D50" s="172"/>
      <c r="E50" s="172"/>
      <c r="F50" s="445"/>
      <c r="G50" s="172"/>
      <c r="H50" s="172"/>
      <c r="I50" s="445"/>
      <c r="J50" s="445"/>
      <c r="K50" s="172"/>
      <c r="L50" s="172"/>
      <c r="M50" s="172"/>
      <c r="N50" s="445"/>
      <c r="O50" s="172"/>
      <c r="P50" s="172"/>
      <c r="Q50" s="445"/>
      <c r="R50" s="445"/>
      <c r="S50" s="172"/>
      <c r="T50" s="172"/>
      <c r="U50" s="400"/>
      <c r="V50" s="390"/>
    </row>
    <row r="51" spans="1:22" ht="18" customHeight="1">
      <c r="A51" s="400"/>
      <c r="B51" s="171"/>
      <c r="C51" s="172"/>
      <c r="D51" s="172"/>
      <c r="E51" s="172"/>
      <c r="F51" s="445"/>
      <c r="G51" s="172"/>
      <c r="H51" s="172"/>
      <c r="I51" s="445"/>
      <c r="J51" s="445"/>
      <c r="K51" s="172"/>
      <c r="L51" s="172"/>
      <c r="M51" s="172"/>
      <c r="N51" s="445"/>
      <c r="O51" s="172"/>
      <c r="P51" s="172"/>
      <c r="Q51" s="445"/>
      <c r="R51" s="445"/>
      <c r="S51" s="172"/>
      <c r="T51" s="172"/>
      <c r="U51" s="400"/>
      <c r="V51" s="390"/>
    </row>
    <row r="52" spans="1:22" ht="18" customHeight="1">
      <c r="A52" s="400"/>
      <c r="B52" s="171"/>
      <c r="C52" s="172"/>
      <c r="D52" s="172"/>
      <c r="E52" s="172"/>
      <c r="F52" s="445"/>
      <c r="G52" s="172"/>
      <c r="H52" s="172"/>
      <c r="I52" s="445"/>
      <c r="J52" s="445"/>
      <c r="K52" s="172"/>
      <c r="L52" s="172"/>
      <c r="M52" s="172"/>
      <c r="N52" s="445"/>
      <c r="O52" s="172"/>
      <c r="P52" s="172"/>
      <c r="Q52" s="445"/>
      <c r="R52" s="445"/>
      <c r="S52" s="172"/>
      <c r="T52" s="172"/>
      <c r="U52" s="400"/>
      <c r="V52" s="391"/>
    </row>
    <row r="53" spans="1:22" ht="15" customHeight="1">
      <c r="A53" s="123" t="s">
        <v>4</v>
      </c>
      <c r="B53" s="123" t="s">
        <v>5</v>
      </c>
      <c r="C53" s="672" t="s">
        <v>258</v>
      </c>
      <c r="D53" s="673"/>
      <c r="E53" s="673"/>
      <c r="F53" s="673"/>
      <c r="G53" s="673"/>
      <c r="H53" s="673"/>
      <c r="I53" s="745"/>
      <c r="J53" s="745"/>
      <c r="K53" s="672" t="s">
        <v>94</v>
      </c>
      <c r="L53" s="673"/>
      <c r="M53" s="673"/>
      <c r="N53" s="673"/>
      <c r="O53" s="673"/>
      <c r="P53" s="673"/>
      <c r="Q53" s="745"/>
      <c r="R53" s="745"/>
      <c r="S53" s="646" t="s">
        <v>378</v>
      </c>
      <c r="T53" s="647"/>
      <c r="U53" s="123" t="s">
        <v>4</v>
      </c>
      <c r="V53" s="392"/>
    </row>
    <row r="54" spans="1:22" ht="13.5" customHeight="1">
      <c r="A54" s="315" t="s">
        <v>6</v>
      </c>
      <c r="B54" s="315"/>
      <c r="C54" s="722" t="s">
        <v>372</v>
      </c>
      <c r="D54" s="723"/>
      <c r="E54" s="722" t="s">
        <v>373</v>
      </c>
      <c r="F54" s="723"/>
      <c r="G54" s="722" t="s">
        <v>374</v>
      </c>
      <c r="H54" s="723"/>
      <c r="I54" s="749" t="s">
        <v>241</v>
      </c>
      <c r="J54" s="672"/>
      <c r="K54" s="722" t="s">
        <v>372</v>
      </c>
      <c r="L54" s="723"/>
      <c r="M54" s="722" t="s">
        <v>373</v>
      </c>
      <c r="N54" s="723"/>
      <c r="O54" s="722" t="s">
        <v>374</v>
      </c>
      <c r="P54" s="723"/>
      <c r="Q54" s="746" t="s">
        <v>241</v>
      </c>
      <c r="R54" s="682"/>
      <c r="S54" s="323" t="s">
        <v>57</v>
      </c>
      <c r="T54" s="323" t="s">
        <v>63</v>
      </c>
      <c r="U54" s="315" t="s">
        <v>6</v>
      </c>
      <c r="V54" s="393"/>
    </row>
    <row r="55" spans="1:22" ht="13.5" customHeight="1">
      <c r="A55" s="124"/>
      <c r="B55" s="124"/>
      <c r="C55" s="323" t="s">
        <v>57</v>
      </c>
      <c r="D55" s="323" t="s">
        <v>63</v>
      </c>
      <c r="E55" s="323" t="s">
        <v>57</v>
      </c>
      <c r="F55" s="266" t="s">
        <v>63</v>
      </c>
      <c r="G55" s="323" t="s">
        <v>57</v>
      </c>
      <c r="H55" s="323" t="s">
        <v>63</v>
      </c>
      <c r="I55" s="266" t="s">
        <v>57</v>
      </c>
      <c r="J55" s="454" t="s">
        <v>63</v>
      </c>
      <c r="K55" s="323" t="s">
        <v>57</v>
      </c>
      <c r="L55" s="323" t="s">
        <v>63</v>
      </c>
      <c r="M55" s="323" t="s">
        <v>57</v>
      </c>
      <c r="N55" s="266" t="s">
        <v>63</v>
      </c>
      <c r="O55" s="323" t="s">
        <v>57</v>
      </c>
      <c r="P55" s="323" t="s">
        <v>63</v>
      </c>
      <c r="Q55" s="266" t="s">
        <v>57</v>
      </c>
      <c r="R55" s="454" t="s">
        <v>63</v>
      </c>
      <c r="S55" s="323"/>
      <c r="T55" s="323"/>
      <c r="U55" s="124"/>
      <c r="V55" s="394">
        <v>0</v>
      </c>
    </row>
    <row r="56" spans="1:23" ht="12.75">
      <c r="A56" s="54">
        <v>40</v>
      </c>
      <c r="B56" s="57" t="s">
        <v>78</v>
      </c>
      <c r="C56" s="149">
        <v>0</v>
      </c>
      <c r="D56" s="149">
        <v>0</v>
      </c>
      <c r="E56" s="149">
        <v>72</v>
      </c>
      <c r="F56" s="405">
        <f aca="true" t="shared" si="21" ref="F56:F63">W56-D56-H56</f>
        <v>87</v>
      </c>
      <c r="G56" s="149">
        <v>0</v>
      </c>
      <c r="H56" s="149">
        <v>0</v>
      </c>
      <c r="I56" s="405">
        <f aca="true" t="shared" si="22" ref="I56:I63">C56+E56+G56</f>
        <v>72</v>
      </c>
      <c r="J56" s="405">
        <f aca="true" t="shared" si="23" ref="J56:J63">D56+F56+H56</f>
        <v>87</v>
      </c>
      <c r="K56" s="149">
        <v>380</v>
      </c>
      <c r="L56" s="149">
        <v>158</v>
      </c>
      <c r="M56" s="149">
        <v>629</v>
      </c>
      <c r="N56" s="405">
        <f aca="true" t="shared" si="24" ref="N56:N63">V56-L56-P56</f>
        <v>167</v>
      </c>
      <c r="O56" s="149">
        <v>0</v>
      </c>
      <c r="P56" s="149">
        <v>0</v>
      </c>
      <c r="Q56" s="405">
        <f aca="true" t="shared" si="25" ref="Q56:Q63">K56+M56+O56</f>
        <v>1009</v>
      </c>
      <c r="R56" s="405">
        <f aca="true" t="shared" si="26" ref="R56:R63">L56+N56+P56</f>
        <v>325</v>
      </c>
      <c r="S56" s="149">
        <v>2893</v>
      </c>
      <c r="T56" s="149">
        <v>444</v>
      </c>
      <c r="U56" s="54">
        <v>41</v>
      </c>
      <c r="V56" s="398">
        <v>325</v>
      </c>
      <c r="W56" s="219">
        <v>87</v>
      </c>
    </row>
    <row r="57" spans="1:23" ht="12.75">
      <c r="A57" s="54">
        <v>41</v>
      </c>
      <c r="B57" s="57" t="s">
        <v>278</v>
      </c>
      <c r="C57" s="149">
        <v>330</v>
      </c>
      <c r="D57" s="149">
        <v>271</v>
      </c>
      <c r="E57" s="149">
        <v>514</v>
      </c>
      <c r="F57" s="405">
        <f t="shared" si="21"/>
        <v>2636</v>
      </c>
      <c r="G57" s="149">
        <v>66</v>
      </c>
      <c r="H57" s="149">
        <v>55</v>
      </c>
      <c r="I57" s="405">
        <f t="shared" si="22"/>
        <v>910</v>
      </c>
      <c r="J57" s="405">
        <f t="shared" si="23"/>
        <v>2962</v>
      </c>
      <c r="K57" s="149">
        <v>2398</v>
      </c>
      <c r="L57" s="149">
        <v>1460</v>
      </c>
      <c r="M57" s="149">
        <v>13901</v>
      </c>
      <c r="N57" s="405">
        <f t="shared" si="24"/>
        <v>8069</v>
      </c>
      <c r="O57" s="149">
        <v>6603</v>
      </c>
      <c r="P57" s="149">
        <v>1898</v>
      </c>
      <c r="Q57" s="405">
        <f t="shared" si="25"/>
        <v>22902</v>
      </c>
      <c r="R57" s="405">
        <f t="shared" si="26"/>
        <v>11427</v>
      </c>
      <c r="S57" s="149">
        <v>5998</v>
      </c>
      <c r="T57" s="149">
        <v>4040</v>
      </c>
      <c r="U57" s="54">
        <v>42</v>
      </c>
      <c r="V57" s="398">
        <v>11427</v>
      </c>
      <c r="W57" s="219">
        <v>2962</v>
      </c>
    </row>
    <row r="58" spans="1:23" ht="12.75">
      <c r="A58" s="54">
        <v>42</v>
      </c>
      <c r="B58" s="57" t="s">
        <v>30</v>
      </c>
      <c r="C58" s="149">
        <v>0</v>
      </c>
      <c r="D58" s="149">
        <v>0</v>
      </c>
      <c r="E58" s="149">
        <v>298</v>
      </c>
      <c r="F58" s="405">
        <f t="shared" si="21"/>
        <v>1480</v>
      </c>
      <c r="G58" s="149">
        <v>375</v>
      </c>
      <c r="H58" s="149">
        <v>165</v>
      </c>
      <c r="I58" s="405">
        <f t="shared" si="22"/>
        <v>673</v>
      </c>
      <c r="J58" s="405">
        <f t="shared" si="23"/>
        <v>1645</v>
      </c>
      <c r="K58" s="149">
        <v>0</v>
      </c>
      <c r="L58" s="149">
        <v>0</v>
      </c>
      <c r="M58" s="149">
        <v>1166</v>
      </c>
      <c r="N58" s="405">
        <f t="shared" si="24"/>
        <v>828</v>
      </c>
      <c r="O58" s="149">
        <v>100</v>
      </c>
      <c r="P58" s="149">
        <v>235</v>
      </c>
      <c r="Q58" s="405">
        <f t="shared" si="25"/>
        <v>1266</v>
      </c>
      <c r="R58" s="405">
        <f t="shared" si="26"/>
        <v>1063</v>
      </c>
      <c r="S58" s="149">
        <v>0</v>
      </c>
      <c r="T58" s="149">
        <v>0</v>
      </c>
      <c r="U58" s="54">
        <v>43</v>
      </c>
      <c r="V58" s="398">
        <v>1063</v>
      </c>
      <c r="W58" s="219">
        <v>1645</v>
      </c>
    </row>
    <row r="59" spans="1:23" ht="12.75">
      <c r="A59" s="54">
        <v>43</v>
      </c>
      <c r="B59" s="57" t="s">
        <v>234</v>
      </c>
      <c r="C59" s="149">
        <v>123</v>
      </c>
      <c r="D59" s="149">
        <v>282</v>
      </c>
      <c r="E59" s="149">
        <v>1588</v>
      </c>
      <c r="F59" s="405">
        <f t="shared" si="21"/>
        <v>1121</v>
      </c>
      <c r="G59" s="149">
        <v>1</v>
      </c>
      <c r="H59" s="149">
        <v>2</v>
      </c>
      <c r="I59" s="405">
        <f t="shared" si="22"/>
        <v>1712</v>
      </c>
      <c r="J59" s="405">
        <f t="shared" si="23"/>
        <v>1405</v>
      </c>
      <c r="K59" s="149">
        <v>883</v>
      </c>
      <c r="L59" s="149">
        <v>597</v>
      </c>
      <c r="M59" s="149">
        <v>10836</v>
      </c>
      <c r="N59" s="405">
        <f t="shared" si="24"/>
        <v>6803</v>
      </c>
      <c r="O59" s="149">
        <v>38</v>
      </c>
      <c r="P59" s="149">
        <v>23</v>
      </c>
      <c r="Q59" s="405">
        <f t="shared" si="25"/>
        <v>11757</v>
      </c>
      <c r="R59" s="405">
        <f t="shared" si="26"/>
        <v>7423</v>
      </c>
      <c r="S59" s="149">
        <v>1121</v>
      </c>
      <c r="T59" s="149">
        <v>1386</v>
      </c>
      <c r="U59" s="54">
        <v>44</v>
      </c>
      <c r="V59" s="398">
        <v>7423</v>
      </c>
      <c r="W59" s="219">
        <v>1405</v>
      </c>
    </row>
    <row r="60" spans="1:23" ht="12.75">
      <c r="A60" s="54">
        <v>44</v>
      </c>
      <c r="B60" s="57" t="s">
        <v>29</v>
      </c>
      <c r="C60" s="149">
        <v>102</v>
      </c>
      <c r="D60" s="149">
        <v>91</v>
      </c>
      <c r="E60" s="149">
        <v>0</v>
      </c>
      <c r="F60" s="405">
        <f t="shared" si="21"/>
        <v>0</v>
      </c>
      <c r="G60" s="149">
        <v>0</v>
      </c>
      <c r="H60" s="149">
        <v>0</v>
      </c>
      <c r="I60" s="405">
        <f t="shared" si="22"/>
        <v>102</v>
      </c>
      <c r="J60" s="405">
        <f t="shared" si="23"/>
        <v>91</v>
      </c>
      <c r="K60" s="149">
        <v>3546</v>
      </c>
      <c r="L60" s="149">
        <v>725</v>
      </c>
      <c r="M60" s="149">
        <v>0</v>
      </c>
      <c r="N60" s="405">
        <f t="shared" si="24"/>
        <v>0</v>
      </c>
      <c r="O60" s="149">
        <v>0</v>
      </c>
      <c r="P60" s="149">
        <v>0</v>
      </c>
      <c r="Q60" s="405">
        <f t="shared" si="25"/>
        <v>3546</v>
      </c>
      <c r="R60" s="405">
        <f t="shared" si="26"/>
        <v>725</v>
      </c>
      <c r="S60" s="149">
        <v>3736</v>
      </c>
      <c r="T60" s="149">
        <v>654</v>
      </c>
      <c r="U60" s="54">
        <v>45</v>
      </c>
      <c r="V60" s="398">
        <v>725</v>
      </c>
      <c r="W60" s="219">
        <v>91</v>
      </c>
    </row>
    <row r="61" spans="1:23" ht="12.75">
      <c r="A61" s="54">
        <v>45</v>
      </c>
      <c r="B61" s="57" t="s">
        <v>391</v>
      </c>
      <c r="C61" s="149">
        <v>302</v>
      </c>
      <c r="D61" s="149">
        <v>387</v>
      </c>
      <c r="E61" s="149">
        <v>1007</v>
      </c>
      <c r="F61" s="405">
        <f t="shared" si="21"/>
        <v>610</v>
      </c>
      <c r="G61" s="149">
        <v>0</v>
      </c>
      <c r="H61" s="149">
        <v>0</v>
      </c>
      <c r="I61" s="405">
        <f t="shared" si="22"/>
        <v>1309</v>
      </c>
      <c r="J61" s="405">
        <f t="shared" si="23"/>
        <v>997</v>
      </c>
      <c r="K61" s="149">
        <v>3214</v>
      </c>
      <c r="L61" s="149">
        <v>1840</v>
      </c>
      <c r="M61" s="149">
        <v>19521</v>
      </c>
      <c r="N61" s="405">
        <f t="shared" si="24"/>
        <v>5463</v>
      </c>
      <c r="O61" s="149">
        <v>0</v>
      </c>
      <c r="P61" s="149">
        <v>0</v>
      </c>
      <c r="Q61" s="405">
        <f t="shared" si="25"/>
        <v>22735</v>
      </c>
      <c r="R61" s="405">
        <f t="shared" si="26"/>
        <v>7303</v>
      </c>
      <c r="S61" s="149">
        <v>1586</v>
      </c>
      <c r="T61" s="149">
        <v>664</v>
      </c>
      <c r="U61" s="54">
        <v>46</v>
      </c>
      <c r="V61" s="398">
        <v>7303</v>
      </c>
      <c r="W61" s="219">
        <v>997</v>
      </c>
    </row>
    <row r="62" spans="1:23" ht="12.75">
      <c r="A62" s="54">
        <v>46</v>
      </c>
      <c r="B62" s="57" t="s">
        <v>25</v>
      </c>
      <c r="C62" s="149">
        <v>118</v>
      </c>
      <c r="D62" s="149">
        <v>62</v>
      </c>
      <c r="E62" s="149">
        <v>293</v>
      </c>
      <c r="F62" s="405">
        <f t="shared" si="21"/>
        <v>78</v>
      </c>
      <c r="G62" s="149">
        <v>1254</v>
      </c>
      <c r="H62" s="149">
        <v>465</v>
      </c>
      <c r="I62" s="405">
        <f t="shared" si="22"/>
        <v>1665</v>
      </c>
      <c r="J62" s="405">
        <f t="shared" si="23"/>
        <v>605</v>
      </c>
      <c r="K62" s="149">
        <v>1898</v>
      </c>
      <c r="L62" s="149">
        <v>264</v>
      </c>
      <c r="M62" s="149">
        <v>598</v>
      </c>
      <c r="N62" s="405">
        <f t="shared" si="24"/>
        <v>37</v>
      </c>
      <c r="O62" s="149">
        <v>6998</v>
      </c>
      <c r="P62" s="149">
        <v>1207</v>
      </c>
      <c r="Q62" s="405">
        <f t="shared" si="25"/>
        <v>9494</v>
      </c>
      <c r="R62" s="405">
        <f t="shared" si="26"/>
        <v>1508</v>
      </c>
      <c r="S62" s="149">
        <v>0</v>
      </c>
      <c r="T62" s="149">
        <v>0</v>
      </c>
      <c r="U62" s="54">
        <v>47</v>
      </c>
      <c r="V62" s="398">
        <v>1508</v>
      </c>
      <c r="W62" s="219">
        <v>605</v>
      </c>
    </row>
    <row r="63" spans="1:23" ht="12.75">
      <c r="A63" s="54">
        <v>47</v>
      </c>
      <c r="B63" s="57" t="s">
        <v>28</v>
      </c>
      <c r="C63" s="149">
        <v>0</v>
      </c>
      <c r="D63" s="149">
        <v>0</v>
      </c>
      <c r="E63" s="149">
        <v>127</v>
      </c>
      <c r="F63" s="405">
        <f t="shared" si="21"/>
        <v>253</v>
      </c>
      <c r="G63" s="149">
        <v>0</v>
      </c>
      <c r="H63" s="149">
        <v>0</v>
      </c>
      <c r="I63" s="405">
        <f t="shared" si="22"/>
        <v>127</v>
      </c>
      <c r="J63" s="405">
        <f t="shared" si="23"/>
        <v>253</v>
      </c>
      <c r="K63" s="149">
        <v>54</v>
      </c>
      <c r="L63" s="149">
        <v>44</v>
      </c>
      <c r="M63" s="149">
        <v>612</v>
      </c>
      <c r="N63" s="405">
        <f t="shared" si="24"/>
        <v>951</v>
      </c>
      <c r="O63" s="149">
        <v>0</v>
      </c>
      <c r="P63" s="149">
        <v>0</v>
      </c>
      <c r="Q63" s="405">
        <f t="shared" si="25"/>
        <v>666</v>
      </c>
      <c r="R63" s="405">
        <f t="shared" si="26"/>
        <v>995</v>
      </c>
      <c r="S63" s="149">
        <v>0</v>
      </c>
      <c r="T63" s="149">
        <v>0</v>
      </c>
      <c r="U63" s="54">
        <v>48</v>
      </c>
      <c r="V63" s="398">
        <v>995</v>
      </c>
      <c r="W63" s="219">
        <v>253</v>
      </c>
    </row>
    <row r="64" spans="1:23" ht="12.75">
      <c r="A64" s="50"/>
      <c r="B64" s="122" t="s">
        <v>123</v>
      </c>
      <c r="C64" s="150">
        <f aca="true" t="shared" si="27" ref="C64:T64">SUM(C56:C63)</f>
        <v>975</v>
      </c>
      <c r="D64" s="150">
        <f t="shared" si="27"/>
        <v>1093</v>
      </c>
      <c r="E64" s="150">
        <f t="shared" si="27"/>
        <v>3899</v>
      </c>
      <c r="F64" s="406">
        <f t="shared" si="27"/>
        <v>6265</v>
      </c>
      <c r="G64" s="150">
        <f t="shared" si="27"/>
        <v>1696</v>
      </c>
      <c r="H64" s="150">
        <f t="shared" si="27"/>
        <v>687</v>
      </c>
      <c r="I64" s="406">
        <f t="shared" si="27"/>
        <v>6570</v>
      </c>
      <c r="J64" s="406">
        <f t="shared" si="27"/>
        <v>8045</v>
      </c>
      <c r="K64" s="150">
        <f t="shared" si="27"/>
        <v>12373</v>
      </c>
      <c r="L64" s="150">
        <f t="shared" si="27"/>
        <v>5088</v>
      </c>
      <c r="M64" s="150">
        <f t="shared" si="27"/>
        <v>47263</v>
      </c>
      <c r="N64" s="406">
        <f t="shared" si="27"/>
        <v>22318</v>
      </c>
      <c r="O64" s="150">
        <f t="shared" si="27"/>
        <v>13739</v>
      </c>
      <c r="P64" s="150">
        <f t="shared" si="27"/>
        <v>3363</v>
      </c>
      <c r="Q64" s="406">
        <f t="shared" si="27"/>
        <v>73375</v>
      </c>
      <c r="R64" s="406">
        <f t="shared" si="27"/>
        <v>30769</v>
      </c>
      <c r="S64" s="150">
        <f t="shared" si="27"/>
        <v>15334</v>
      </c>
      <c r="T64" s="150">
        <f t="shared" si="27"/>
        <v>7188</v>
      </c>
      <c r="U64" s="50"/>
      <c r="V64" s="395">
        <f>SUM(V56:V63)</f>
        <v>30769</v>
      </c>
      <c r="W64" s="212">
        <f>SUM(W56:W63)</f>
        <v>8045</v>
      </c>
    </row>
    <row r="65" spans="1:22" ht="12.75">
      <c r="A65" s="50"/>
      <c r="B65" s="149"/>
      <c r="C65" s="149"/>
      <c r="D65" s="149"/>
      <c r="E65" s="149"/>
      <c r="F65" s="405"/>
      <c r="G65" s="149"/>
      <c r="H65" s="149"/>
      <c r="I65" s="405"/>
      <c r="J65" s="405"/>
      <c r="K65" s="149"/>
      <c r="L65" s="149"/>
      <c r="M65" s="149"/>
      <c r="N65" s="405"/>
      <c r="O65" s="149"/>
      <c r="P65" s="149"/>
      <c r="Q65" s="405"/>
      <c r="R65" s="405"/>
      <c r="S65" s="396"/>
      <c r="T65" s="396"/>
      <c r="U65" s="50"/>
      <c r="V65" s="387"/>
    </row>
    <row r="66" spans="1:23" ht="12.75">
      <c r="A66" s="50">
        <v>48</v>
      </c>
      <c r="B66" s="149" t="s">
        <v>34</v>
      </c>
      <c r="C66" s="149">
        <v>0</v>
      </c>
      <c r="D66" s="149">
        <v>0</v>
      </c>
      <c r="E66" s="149">
        <v>0</v>
      </c>
      <c r="F66" s="405">
        <f>W66-D66-H66</f>
        <v>0</v>
      </c>
      <c r="G66" s="149">
        <v>0</v>
      </c>
      <c r="H66" s="149">
        <v>0</v>
      </c>
      <c r="I66" s="405">
        <f>C66+E66+G66</f>
        <v>0</v>
      </c>
      <c r="J66" s="405">
        <f>D66+F66+H66</f>
        <v>0</v>
      </c>
      <c r="K66" s="149">
        <v>0</v>
      </c>
      <c r="L66" s="149">
        <v>0</v>
      </c>
      <c r="M66" s="149">
        <v>0</v>
      </c>
      <c r="N66" s="405">
        <f>V66-L66-P66</f>
        <v>0</v>
      </c>
      <c r="O66" s="149">
        <v>0</v>
      </c>
      <c r="P66" s="149">
        <v>0</v>
      </c>
      <c r="Q66" s="405">
        <f>K66+M66+O66</f>
        <v>0</v>
      </c>
      <c r="R66" s="405">
        <f>L66+N66+P66</f>
        <v>0</v>
      </c>
      <c r="S66" s="149">
        <v>0</v>
      </c>
      <c r="T66" s="149">
        <v>0</v>
      </c>
      <c r="U66" s="50">
        <v>49</v>
      </c>
      <c r="V66" s="387">
        <v>0</v>
      </c>
      <c r="W66" s="211">
        <v>0</v>
      </c>
    </row>
    <row r="67" spans="1:23" ht="12.75">
      <c r="A67" s="50">
        <v>49</v>
      </c>
      <c r="B67" s="149" t="s">
        <v>130</v>
      </c>
      <c r="C67" s="149">
        <v>0</v>
      </c>
      <c r="D67" s="149">
        <v>0</v>
      </c>
      <c r="E67" s="149">
        <v>0</v>
      </c>
      <c r="F67" s="405">
        <f>W67-D67-H67</f>
        <v>0</v>
      </c>
      <c r="G67" s="149">
        <v>0</v>
      </c>
      <c r="H67" s="149">
        <v>0</v>
      </c>
      <c r="I67" s="405">
        <f>C67+E67+G67</f>
        <v>0</v>
      </c>
      <c r="J67" s="405">
        <f>D67+F67+H67</f>
        <v>0</v>
      </c>
      <c r="K67" s="149">
        <v>0</v>
      </c>
      <c r="L67" s="149">
        <v>0</v>
      </c>
      <c r="M67" s="149">
        <v>0</v>
      </c>
      <c r="N67" s="405">
        <f>V67-L67-P67</f>
        <v>0</v>
      </c>
      <c r="O67" s="149">
        <v>0</v>
      </c>
      <c r="P67" s="149">
        <v>0</v>
      </c>
      <c r="Q67" s="405">
        <f>K67+M67+O67</f>
        <v>0</v>
      </c>
      <c r="R67" s="405">
        <f>L67+N67+P67</f>
        <v>0</v>
      </c>
      <c r="S67" s="149">
        <v>0</v>
      </c>
      <c r="T67" s="149">
        <v>0</v>
      </c>
      <c r="U67" s="50">
        <v>50</v>
      </c>
      <c r="V67" s="387">
        <v>0</v>
      </c>
      <c r="W67" s="211">
        <v>0</v>
      </c>
    </row>
    <row r="68" spans="1:23" ht="12.75">
      <c r="A68" s="125"/>
      <c r="B68" s="122" t="s">
        <v>123</v>
      </c>
      <c r="C68" s="150">
        <f aca="true" t="shared" si="28" ref="C68:J68">SUM(C65:C67)</f>
        <v>0</v>
      </c>
      <c r="D68" s="150">
        <f t="shared" si="28"/>
        <v>0</v>
      </c>
      <c r="E68" s="150">
        <f t="shared" si="28"/>
        <v>0</v>
      </c>
      <c r="F68" s="406">
        <f t="shared" si="28"/>
        <v>0</v>
      </c>
      <c r="G68" s="150">
        <f t="shared" si="28"/>
        <v>0</v>
      </c>
      <c r="H68" s="150">
        <f t="shared" si="28"/>
        <v>0</v>
      </c>
      <c r="I68" s="406">
        <f t="shared" si="28"/>
        <v>0</v>
      </c>
      <c r="J68" s="406">
        <f t="shared" si="28"/>
        <v>0</v>
      </c>
      <c r="K68" s="150">
        <f aca="true" t="shared" si="29" ref="K68:T68">SUM(K65:K67)</f>
        <v>0</v>
      </c>
      <c r="L68" s="150">
        <f t="shared" si="29"/>
        <v>0</v>
      </c>
      <c r="M68" s="150">
        <f t="shared" si="29"/>
        <v>0</v>
      </c>
      <c r="N68" s="406">
        <f t="shared" si="29"/>
        <v>0</v>
      </c>
      <c r="O68" s="150">
        <f t="shared" si="29"/>
        <v>0</v>
      </c>
      <c r="P68" s="150">
        <f t="shared" si="29"/>
        <v>0</v>
      </c>
      <c r="Q68" s="406">
        <f t="shared" si="29"/>
        <v>0</v>
      </c>
      <c r="R68" s="406">
        <f t="shared" si="29"/>
        <v>0</v>
      </c>
      <c r="S68" s="150">
        <f t="shared" si="29"/>
        <v>0</v>
      </c>
      <c r="T68" s="150">
        <f t="shared" si="29"/>
        <v>0</v>
      </c>
      <c r="U68" s="125"/>
      <c r="V68" s="395">
        <f>SUM(V66:V67)</f>
        <v>0</v>
      </c>
      <c r="W68" s="69">
        <f>SUM(W66:W67)</f>
        <v>0</v>
      </c>
    </row>
    <row r="69" spans="1:22" ht="12.75">
      <c r="A69" s="125"/>
      <c r="B69" s="122"/>
      <c r="C69" s="150"/>
      <c r="D69" s="150"/>
      <c r="E69" s="150"/>
      <c r="F69" s="406"/>
      <c r="G69" s="150"/>
      <c r="H69" s="150"/>
      <c r="I69" s="406"/>
      <c r="J69" s="406"/>
      <c r="K69" s="150"/>
      <c r="L69" s="150"/>
      <c r="M69" s="150"/>
      <c r="N69" s="406"/>
      <c r="O69" s="150"/>
      <c r="P69" s="150"/>
      <c r="Q69" s="406"/>
      <c r="R69" s="406"/>
      <c r="S69" s="150"/>
      <c r="T69" s="150"/>
      <c r="U69" s="125"/>
      <c r="V69" s="395"/>
    </row>
    <row r="70" spans="1:23" ht="12.75">
      <c r="A70" s="125"/>
      <c r="B70" s="122" t="s">
        <v>35</v>
      </c>
      <c r="C70" s="150">
        <f aca="true" t="shared" si="30" ref="C70:T70">C49+C64+C68</f>
        <v>6680</v>
      </c>
      <c r="D70" s="150">
        <f t="shared" si="30"/>
        <v>47201</v>
      </c>
      <c r="E70" s="150">
        <f t="shared" si="30"/>
        <v>19748</v>
      </c>
      <c r="F70" s="406">
        <f t="shared" si="30"/>
        <v>76011</v>
      </c>
      <c r="G70" s="150">
        <f t="shared" si="30"/>
        <v>2013</v>
      </c>
      <c r="H70" s="150">
        <f t="shared" si="30"/>
        <v>21303</v>
      </c>
      <c r="I70" s="406">
        <f t="shared" si="30"/>
        <v>28441</v>
      </c>
      <c r="J70" s="406">
        <f t="shared" si="30"/>
        <v>144515</v>
      </c>
      <c r="K70" s="150">
        <f t="shared" si="30"/>
        <v>58904</v>
      </c>
      <c r="L70" s="150">
        <f t="shared" si="30"/>
        <v>381958</v>
      </c>
      <c r="M70" s="150">
        <f t="shared" si="30"/>
        <v>276550</v>
      </c>
      <c r="N70" s="406">
        <f t="shared" si="30"/>
        <v>474703</v>
      </c>
      <c r="O70" s="150">
        <f t="shared" si="30"/>
        <v>17490</v>
      </c>
      <c r="P70" s="150">
        <f t="shared" si="30"/>
        <v>93344</v>
      </c>
      <c r="Q70" s="406">
        <f t="shared" si="30"/>
        <v>356093</v>
      </c>
      <c r="R70" s="406">
        <f t="shared" si="30"/>
        <v>950005</v>
      </c>
      <c r="S70" s="150">
        <f t="shared" si="30"/>
        <v>113120</v>
      </c>
      <c r="T70" s="150">
        <f t="shared" si="30"/>
        <v>245159</v>
      </c>
      <c r="U70" s="125"/>
      <c r="V70" s="395">
        <f>V48+V64+V68</f>
        <v>114192</v>
      </c>
      <c r="W70" s="69">
        <f>W48+W64+W68</f>
        <v>39934</v>
      </c>
    </row>
    <row r="71" spans="22:23" ht="12.75">
      <c r="V71" s="395">
        <f>V49+V65+V69</f>
        <v>919236</v>
      </c>
      <c r="W71" s="69">
        <f>W49+W65+W69</f>
        <v>136470</v>
      </c>
    </row>
    <row r="72" spans="3:11" ht="12">
      <c r="C72" s="397">
        <v>9</v>
      </c>
      <c r="K72" s="397">
        <v>9</v>
      </c>
    </row>
    <row r="73" spans="3:11" ht="12">
      <c r="C73" s="397">
        <v>9</v>
      </c>
      <c r="K73" s="397">
        <v>9</v>
      </c>
    </row>
  </sheetData>
  <sheetProtection/>
  <mergeCells count="22">
    <mergeCell ref="C54:D54"/>
    <mergeCell ref="E54:F54"/>
    <mergeCell ref="G54:H54"/>
    <mergeCell ref="I54:J54"/>
    <mergeCell ref="K4:R4"/>
    <mergeCell ref="S4:T4"/>
    <mergeCell ref="K5:L5"/>
    <mergeCell ref="M5:N5"/>
    <mergeCell ref="O5:P5"/>
    <mergeCell ref="Q5:R5"/>
    <mergeCell ref="C4:J4"/>
    <mergeCell ref="C53:J53"/>
    <mergeCell ref="E5:F5"/>
    <mergeCell ref="C5:D5"/>
    <mergeCell ref="I5:J5"/>
    <mergeCell ref="G5:H5"/>
    <mergeCell ref="K53:R53"/>
    <mergeCell ref="S53:T53"/>
    <mergeCell ref="K54:L54"/>
    <mergeCell ref="M54:N54"/>
    <mergeCell ref="O54:P54"/>
    <mergeCell ref="Q54:R54"/>
  </mergeCells>
  <printOptions gridLines="1" horizontalCentered="1"/>
  <pageMargins left="0.25" right="0.31" top="0.37" bottom="0.4" header="0.24" footer="0.35"/>
  <pageSetup blackAndWhite="1" horizontalDpi="300" verticalDpi="300" orientation="landscape" paperSize="9" scale="75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120" zoomScaleNormal="120" zoomScalePageLayoutView="0" workbookViewId="0" topLeftCell="F55">
      <selection activeCell="F17" sqref="F17"/>
    </sheetView>
  </sheetViews>
  <sheetFormatPr defaultColWidth="9.140625" defaultRowHeight="12.75"/>
  <cols>
    <col min="1" max="1" width="3.7109375" style="119" customWidth="1"/>
    <col min="2" max="2" width="23.57421875" style="119" customWidth="1"/>
    <col min="3" max="3" width="10.8515625" style="148" customWidth="1"/>
    <col min="4" max="4" width="12.8515625" style="148" customWidth="1"/>
    <col min="5" max="5" width="12.00390625" style="148" customWidth="1"/>
    <col min="6" max="6" width="13.00390625" style="191" customWidth="1"/>
    <col min="7" max="7" width="14.28125" style="191" customWidth="1"/>
    <col min="8" max="8" width="13.8515625" style="191" customWidth="1"/>
    <col min="9" max="9" width="13.421875" style="191" customWidth="1"/>
    <col min="10" max="10" width="17.140625" style="530" customWidth="1"/>
    <col min="11" max="11" width="9.140625" style="119" customWidth="1"/>
    <col min="12" max="13" width="10.7109375" style="119" customWidth="1"/>
    <col min="14" max="16384" width="9.140625" style="119" customWidth="1"/>
  </cols>
  <sheetData>
    <row r="1" spans="1:9" ht="15" customHeight="1">
      <c r="A1" s="120"/>
      <c r="B1" s="120"/>
      <c r="C1" s="277"/>
      <c r="D1" s="277"/>
      <c r="E1" s="277"/>
      <c r="F1" s="250"/>
      <c r="G1" s="250"/>
      <c r="H1" s="250"/>
      <c r="I1" s="250"/>
    </row>
    <row r="2" spans="1:12" ht="12.75">
      <c r="A2" s="120"/>
      <c r="B2" s="120"/>
      <c r="C2" s="277"/>
      <c r="D2" s="277"/>
      <c r="E2" s="277"/>
      <c r="F2" s="250"/>
      <c r="G2" s="250"/>
      <c r="H2" s="250"/>
      <c r="I2" s="250"/>
      <c r="K2" s="120"/>
      <c r="L2" s="120"/>
    </row>
    <row r="3" spans="1:12" ht="12.75">
      <c r="A3" s="120"/>
      <c r="B3" s="120"/>
      <c r="C3" s="277"/>
      <c r="D3" s="277"/>
      <c r="E3" s="277"/>
      <c r="F3" s="250"/>
      <c r="G3" s="250"/>
      <c r="H3" s="250"/>
      <c r="I3" s="250"/>
      <c r="K3" s="120"/>
      <c r="L3" s="120"/>
    </row>
    <row r="4" spans="1:12" ht="12.75">
      <c r="A4" s="120"/>
      <c r="B4" s="120"/>
      <c r="C4" s="277"/>
      <c r="D4" s="277"/>
      <c r="E4" s="277"/>
      <c r="F4" s="250"/>
      <c r="G4" s="250"/>
      <c r="H4" s="250"/>
      <c r="I4" s="250"/>
      <c r="J4" s="531"/>
      <c r="K4" s="120"/>
      <c r="L4" s="120"/>
    </row>
    <row r="5" spans="1:13" ht="13.5" customHeight="1">
      <c r="A5" s="352" t="s">
        <v>4</v>
      </c>
      <c r="B5" s="352" t="s">
        <v>5</v>
      </c>
      <c r="C5" s="282" t="s">
        <v>48</v>
      </c>
      <c r="D5" s="282" t="s">
        <v>49</v>
      </c>
      <c r="E5" s="282" t="s">
        <v>50</v>
      </c>
      <c r="F5" s="257" t="s">
        <v>3</v>
      </c>
      <c r="G5" s="257" t="s">
        <v>3</v>
      </c>
      <c r="H5" s="257" t="s">
        <v>51</v>
      </c>
      <c r="I5" s="257" t="s">
        <v>45</v>
      </c>
      <c r="J5" s="257" t="s">
        <v>52</v>
      </c>
      <c r="K5" s="510"/>
      <c r="L5" s="511"/>
      <c r="M5" s="511"/>
    </row>
    <row r="6" spans="1:13" ht="12.75">
      <c r="A6" s="332" t="s">
        <v>6</v>
      </c>
      <c r="B6" s="332"/>
      <c r="C6" s="283"/>
      <c r="D6" s="283"/>
      <c r="E6" s="283"/>
      <c r="F6" s="258" t="s">
        <v>53</v>
      </c>
      <c r="G6" s="258" t="s">
        <v>46</v>
      </c>
      <c r="H6" s="258" t="s">
        <v>54</v>
      </c>
      <c r="I6" s="258"/>
      <c r="J6" s="258" t="s">
        <v>55</v>
      </c>
      <c r="K6" s="510"/>
      <c r="L6" s="511"/>
      <c r="M6" s="511"/>
    </row>
    <row r="7" spans="1:13" ht="12.75" customHeight="1">
      <c r="A7" s="115">
        <v>1</v>
      </c>
      <c r="B7" s="116" t="s">
        <v>7</v>
      </c>
      <c r="C7" s="116">
        <v>3604</v>
      </c>
      <c r="D7" s="116">
        <v>0</v>
      </c>
      <c r="E7" s="116">
        <v>0</v>
      </c>
      <c r="F7" s="190">
        <f>C7+D7+E7</f>
        <v>3604</v>
      </c>
      <c r="G7" s="190">
        <f>'TABLE-2'!G6+'TABLE-2'!H6+'TABLE-2'!I6</f>
        <v>209688</v>
      </c>
      <c r="H7" s="190">
        <f>F7+G7</f>
        <v>213292</v>
      </c>
      <c r="I7" s="190">
        <f>'TABLE-2'!D6+'TABLE-2'!E6+'TABLE-2'!F6</f>
        <v>415275</v>
      </c>
      <c r="J7" s="408">
        <f>(H7/I7)*100</f>
        <v>51.3616278369755</v>
      </c>
      <c r="K7" s="512"/>
      <c r="L7" s="513"/>
      <c r="M7" s="513"/>
    </row>
    <row r="8" spans="1:13" ht="12.75" customHeight="1">
      <c r="A8" s="115">
        <v>2</v>
      </c>
      <c r="B8" s="116" t="s">
        <v>8</v>
      </c>
      <c r="C8" s="116">
        <v>0</v>
      </c>
      <c r="D8" s="116">
        <v>0</v>
      </c>
      <c r="E8" s="116">
        <v>0</v>
      </c>
      <c r="F8" s="190">
        <f aca="true" t="shared" si="0" ref="F8:F25">C8+D8+E8</f>
        <v>0</v>
      </c>
      <c r="G8" s="190">
        <f>'TABLE-2'!G7+'TABLE-2'!H7+'TABLE-2'!I7</f>
        <v>9265</v>
      </c>
      <c r="H8" s="190">
        <f aca="true" t="shared" si="1" ref="H8:H25">F8+G8</f>
        <v>9265</v>
      </c>
      <c r="I8" s="190">
        <f>'TABLE-2'!D7+'TABLE-2'!E7+'TABLE-2'!F7</f>
        <v>29549</v>
      </c>
      <c r="J8" s="408">
        <f aca="true" t="shared" si="2" ref="J8:J25">(H8/I8)*100</f>
        <v>31.35469897458459</v>
      </c>
      <c r="L8" s="513"/>
      <c r="M8" s="513"/>
    </row>
    <row r="9" spans="1:13" ht="12.75" customHeight="1">
      <c r="A9" s="115">
        <v>3</v>
      </c>
      <c r="B9" s="116" t="s">
        <v>9</v>
      </c>
      <c r="C9" s="116">
        <v>0</v>
      </c>
      <c r="D9" s="116">
        <v>0</v>
      </c>
      <c r="E9" s="116">
        <v>0</v>
      </c>
      <c r="F9" s="190">
        <f t="shared" si="0"/>
        <v>0</v>
      </c>
      <c r="G9" s="190">
        <f>'TABLE-2'!G8+'TABLE-2'!H8+'TABLE-2'!I8</f>
        <v>161016</v>
      </c>
      <c r="H9" s="190">
        <f t="shared" si="1"/>
        <v>161016</v>
      </c>
      <c r="I9" s="190">
        <f>'TABLE-2'!D8+'TABLE-2'!E8+'TABLE-2'!F8</f>
        <v>305845</v>
      </c>
      <c r="J9" s="408">
        <f t="shared" si="2"/>
        <v>52.64627507397538</v>
      </c>
      <c r="L9" s="513"/>
      <c r="M9" s="513"/>
    </row>
    <row r="10" spans="1:13" ht="12.75" customHeight="1">
      <c r="A10" s="115">
        <v>4</v>
      </c>
      <c r="B10" s="116" t="s">
        <v>10</v>
      </c>
      <c r="C10" s="116">
        <v>0</v>
      </c>
      <c r="D10" s="116">
        <v>0</v>
      </c>
      <c r="E10" s="116">
        <v>0</v>
      </c>
      <c r="F10" s="190">
        <f t="shared" si="0"/>
        <v>0</v>
      </c>
      <c r="G10" s="190">
        <f>'TABLE-2'!G9+'TABLE-2'!H9+'TABLE-2'!I9</f>
        <v>513630</v>
      </c>
      <c r="H10" s="190">
        <f t="shared" si="1"/>
        <v>513630</v>
      </c>
      <c r="I10" s="190">
        <f>'TABLE-2'!D9+'TABLE-2'!E9+'TABLE-2'!F9</f>
        <v>703545</v>
      </c>
      <c r="J10" s="408">
        <f t="shared" si="2"/>
        <v>73.00599108799011</v>
      </c>
      <c r="L10" s="513"/>
      <c r="M10" s="513"/>
    </row>
    <row r="11" spans="1:13" ht="12.75" customHeight="1">
      <c r="A11" s="115">
        <v>5</v>
      </c>
      <c r="B11" s="116" t="s">
        <v>11</v>
      </c>
      <c r="C11" s="116">
        <v>55</v>
      </c>
      <c r="D11" s="116">
        <v>0</v>
      </c>
      <c r="E11" s="116">
        <v>0</v>
      </c>
      <c r="F11" s="190">
        <f t="shared" si="0"/>
        <v>55</v>
      </c>
      <c r="G11" s="190">
        <f>'TABLE-2'!G10+'TABLE-2'!H10+'TABLE-2'!I10</f>
        <v>77507</v>
      </c>
      <c r="H11" s="190">
        <f t="shared" si="1"/>
        <v>77562</v>
      </c>
      <c r="I11" s="190">
        <f>'TABLE-2'!D10+'TABLE-2'!E10+'TABLE-2'!F10</f>
        <v>174035</v>
      </c>
      <c r="J11" s="408">
        <f t="shared" si="2"/>
        <v>44.566897463153964</v>
      </c>
      <c r="L11" s="513"/>
      <c r="M11" s="513"/>
    </row>
    <row r="12" spans="1:13" ht="12.75" customHeight="1">
      <c r="A12" s="115">
        <v>6</v>
      </c>
      <c r="B12" s="116" t="s">
        <v>12</v>
      </c>
      <c r="C12" s="116">
        <v>0</v>
      </c>
      <c r="D12" s="116">
        <v>0</v>
      </c>
      <c r="E12" s="116">
        <v>0</v>
      </c>
      <c r="F12" s="190">
        <f t="shared" si="0"/>
        <v>0</v>
      </c>
      <c r="G12" s="190">
        <f>'TABLE-2'!G11+'TABLE-2'!H11+'TABLE-2'!I11</f>
        <v>74755</v>
      </c>
      <c r="H12" s="190">
        <f t="shared" si="1"/>
        <v>74755</v>
      </c>
      <c r="I12" s="190">
        <f>'TABLE-2'!D11+'TABLE-2'!E11+'TABLE-2'!F11</f>
        <v>142313</v>
      </c>
      <c r="J12" s="408">
        <f t="shared" si="2"/>
        <v>52.52858136642471</v>
      </c>
      <c r="L12" s="513"/>
      <c r="M12" s="513"/>
    </row>
    <row r="13" spans="1:13" s="102" customFormat="1" ht="12.75" customHeight="1">
      <c r="A13" s="54">
        <v>7</v>
      </c>
      <c r="B13" s="57" t="s">
        <v>13</v>
      </c>
      <c r="C13" s="57">
        <v>1600</v>
      </c>
      <c r="D13" s="57">
        <v>0</v>
      </c>
      <c r="E13" s="57">
        <v>126143</v>
      </c>
      <c r="F13" s="190">
        <f t="shared" si="0"/>
        <v>127743</v>
      </c>
      <c r="G13" s="190">
        <f>'TABLE-2'!G12+'TABLE-2'!H12+'TABLE-2'!I12</f>
        <v>485588</v>
      </c>
      <c r="H13" s="190">
        <f t="shared" si="1"/>
        <v>613331</v>
      </c>
      <c r="I13" s="190">
        <f>'TABLE-2'!D12+'TABLE-2'!E12+'TABLE-2'!F12</f>
        <v>820331</v>
      </c>
      <c r="J13" s="408">
        <f t="shared" si="2"/>
        <v>74.76628336610466</v>
      </c>
      <c r="L13" s="32"/>
      <c r="M13" s="32"/>
    </row>
    <row r="14" spans="1:13" s="102" customFormat="1" ht="12.75" customHeight="1">
      <c r="A14" s="54">
        <v>8</v>
      </c>
      <c r="B14" s="57" t="s">
        <v>162</v>
      </c>
      <c r="C14" s="57">
        <v>0</v>
      </c>
      <c r="D14" s="57">
        <v>0</v>
      </c>
      <c r="E14" s="57">
        <v>0</v>
      </c>
      <c r="F14" s="190">
        <f t="shared" si="0"/>
        <v>0</v>
      </c>
      <c r="G14" s="190">
        <f>'TABLE-2'!G13+'TABLE-2'!H13+'TABLE-2'!I13</f>
        <v>10298</v>
      </c>
      <c r="H14" s="190">
        <f t="shared" si="1"/>
        <v>10298</v>
      </c>
      <c r="I14" s="190">
        <f>'TABLE-2'!D13+'TABLE-2'!E13+'TABLE-2'!F13</f>
        <v>65357</v>
      </c>
      <c r="J14" s="408">
        <f t="shared" si="2"/>
        <v>15.756537172758847</v>
      </c>
      <c r="L14" s="32"/>
      <c r="M14" s="32"/>
    </row>
    <row r="15" spans="1:13" ht="12.75" customHeight="1">
      <c r="A15" s="115">
        <v>9</v>
      </c>
      <c r="B15" s="116" t="s">
        <v>14</v>
      </c>
      <c r="C15" s="116">
        <v>25</v>
      </c>
      <c r="D15" s="116">
        <v>0</v>
      </c>
      <c r="E15" s="116">
        <v>0</v>
      </c>
      <c r="F15" s="190">
        <f t="shared" si="0"/>
        <v>25</v>
      </c>
      <c r="G15" s="190">
        <f>'TABLE-2'!G14+'TABLE-2'!H14+'TABLE-2'!I14</f>
        <v>123249</v>
      </c>
      <c r="H15" s="190">
        <f t="shared" si="1"/>
        <v>123274</v>
      </c>
      <c r="I15" s="190">
        <f>'TABLE-2'!D14+'TABLE-2'!E14+'TABLE-2'!F14</f>
        <v>145833</v>
      </c>
      <c r="J15" s="408">
        <f t="shared" si="2"/>
        <v>84.53093607071102</v>
      </c>
      <c r="L15" s="513"/>
      <c r="M15" s="513"/>
    </row>
    <row r="16" spans="1:13" ht="12.75" customHeight="1">
      <c r="A16" s="115">
        <v>10</v>
      </c>
      <c r="B16" s="116" t="s">
        <v>15</v>
      </c>
      <c r="C16" s="116">
        <v>0</v>
      </c>
      <c r="D16" s="116">
        <v>50</v>
      </c>
      <c r="E16" s="116">
        <v>0</v>
      </c>
      <c r="F16" s="190">
        <f t="shared" si="0"/>
        <v>50</v>
      </c>
      <c r="G16" s="190">
        <f>'TABLE-2'!G15+'TABLE-2'!H15+'TABLE-2'!I15</f>
        <v>6957</v>
      </c>
      <c r="H16" s="190">
        <f t="shared" si="1"/>
        <v>7007</v>
      </c>
      <c r="I16" s="190">
        <f>'TABLE-2'!D15+'TABLE-2'!E15+'TABLE-2'!F15</f>
        <v>20224</v>
      </c>
      <c r="J16" s="408">
        <f t="shared" si="2"/>
        <v>34.64695411392405</v>
      </c>
      <c r="L16" s="513"/>
      <c r="M16" s="513"/>
    </row>
    <row r="17" spans="1:13" ht="12.75" customHeight="1">
      <c r="A17" s="115">
        <v>11</v>
      </c>
      <c r="B17" s="116" t="s">
        <v>16</v>
      </c>
      <c r="C17" s="116">
        <v>935</v>
      </c>
      <c r="D17" s="116">
        <v>0</v>
      </c>
      <c r="E17" s="116">
        <v>0</v>
      </c>
      <c r="F17" s="190">
        <f t="shared" si="0"/>
        <v>935</v>
      </c>
      <c r="G17" s="190">
        <f>'TABLE-2'!G16+'TABLE-2'!H16+'TABLE-2'!I16</f>
        <v>12215</v>
      </c>
      <c r="H17" s="190">
        <f t="shared" si="1"/>
        <v>13150</v>
      </c>
      <c r="I17" s="190">
        <f>'TABLE-2'!D16+'TABLE-2'!E16+'TABLE-2'!F16</f>
        <v>34195</v>
      </c>
      <c r="J17" s="408">
        <f t="shared" si="2"/>
        <v>38.455914607398746</v>
      </c>
      <c r="L17" s="513"/>
      <c r="M17" s="513"/>
    </row>
    <row r="18" spans="1:13" ht="12.75" customHeight="1">
      <c r="A18" s="115">
        <v>12</v>
      </c>
      <c r="B18" s="116" t="s">
        <v>17</v>
      </c>
      <c r="C18" s="116">
        <v>506</v>
      </c>
      <c r="D18" s="116">
        <v>0</v>
      </c>
      <c r="E18" s="116">
        <v>0</v>
      </c>
      <c r="F18" s="190">
        <f t="shared" si="0"/>
        <v>506</v>
      </c>
      <c r="G18" s="190">
        <f>'TABLE-2'!G17+'TABLE-2'!H17+'TABLE-2'!I17</f>
        <v>99924</v>
      </c>
      <c r="H18" s="190">
        <f t="shared" si="1"/>
        <v>100430</v>
      </c>
      <c r="I18" s="190">
        <f>'TABLE-2'!D17+'TABLE-2'!E17+'TABLE-2'!F17</f>
        <v>232115</v>
      </c>
      <c r="J18" s="408">
        <f t="shared" si="2"/>
        <v>43.26734592766517</v>
      </c>
      <c r="L18" s="513"/>
      <c r="M18" s="513"/>
    </row>
    <row r="19" spans="1:13" ht="12.75" customHeight="1">
      <c r="A19" s="115">
        <v>13</v>
      </c>
      <c r="B19" s="116" t="s">
        <v>164</v>
      </c>
      <c r="C19" s="116">
        <v>4777</v>
      </c>
      <c r="D19" s="116">
        <v>0</v>
      </c>
      <c r="E19" s="116">
        <v>0</v>
      </c>
      <c r="F19" s="190">
        <f t="shared" si="0"/>
        <v>4777</v>
      </c>
      <c r="G19" s="190">
        <f>'TABLE-2'!G18+'TABLE-2'!H18+'TABLE-2'!I18</f>
        <v>29995</v>
      </c>
      <c r="H19" s="190">
        <f t="shared" si="1"/>
        <v>34772</v>
      </c>
      <c r="I19" s="190">
        <f>'TABLE-2'!D18+'TABLE-2'!E18+'TABLE-2'!F18</f>
        <v>74010</v>
      </c>
      <c r="J19" s="408">
        <f t="shared" si="2"/>
        <v>46.98284015673558</v>
      </c>
      <c r="L19" s="513"/>
      <c r="M19" s="513"/>
    </row>
    <row r="20" spans="1:13" ht="12.75" customHeight="1">
      <c r="A20" s="115">
        <v>14</v>
      </c>
      <c r="B20" s="116" t="s">
        <v>77</v>
      </c>
      <c r="C20" s="116">
        <v>32547</v>
      </c>
      <c r="D20" s="116">
        <v>0</v>
      </c>
      <c r="E20" s="116">
        <v>0</v>
      </c>
      <c r="F20" s="190">
        <f t="shared" si="0"/>
        <v>32547</v>
      </c>
      <c r="G20" s="190">
        <f>'TABLE-2'!G19+'TABLE-2'!H19+'TABLE-2'!I19</f>
        <v>339780</v>
      </c>
      <c r="H20" s="190">
        <f t="shared" si="1"/>
        <v>372327</v>
      </c>
      <c r="I20" s="190">
        <f>'TABLE-2'!D19+'TABLE-2'!E19+'TABLE-2'!F19</f>
        <v>565812</v>
      </c>
      <c r="J20" s="408">
        <f t="shared" si="2"/>
        <v>65.80401264024093</v>
      </c>
      <c r="L20" s="513"/>
      <c r="M20" s="513"/>
    </row>
    <row r="21" spans="1:13" ht="12.75" customHeight="1">
      <c r="A21" s="115">
        <v>15</v>
      </c>
      <c r="B21" s="116" t="s">
        <v>105</v>
      </c>
      <c r="C21" s="116">
        <v>100</v>
      </c>
      <c r="D21" s="116">
        <v>724</v>
      </c>
      <c r="E21" s="116">
        <v>11073</v>
      </c>
      <c r="F21" s="190">
        <f t="shared" si="0"/>
        <v>11897</v>
      </c>
      <c r="G21" s="190">
        <f>'TABLE-2'!G20+'TABLE-2'!H20+'TABLE-2'!I20</f>
        <v>40345</v>
      </c>
      <c r="H21" s="190">
        <f t="shared" si="1"/>
        <v>52242</v>
      </c>
      <c r="I21" s="190">
        <f>'TABLE-2'!D20+'TABLE-2'!E20+'TABLE-2'!F20</f>
        <v>125240</v>
      </c>
      <c r="J21" s="408">
        <f t="shared" si="2"/>
        <v>41.71351006068349</v>
      </c>
      <c r="L21" s="513"/>
      <c r="M21" s="513"/>
    </row>
    <row r="22" spans="1:13" s="102" customFormat="1" ht="12.75" customHeight="1">
      <c r="A22" s="54">
        <v>16</v>
      </c>
      <c r="B22" s="57" t="s">
        <v>20</v>
      </c>
      <c r="C22" s="57">
        <v>64</v>
      </c>
      <c r="D22" s="57">
        <v>0</v>
      </c>
      <c r="E22" s="57">
        <v>0</v>
      </c>
      <c r="F22" s="190">
        <f t="shared" si="0"/>
        <v>64</v>
      </c>
      <c r="G22" s="190">
        <f>'TABLE-2'!G21+'TABLE-2'!H21+'TABLE-2'!I21</f>
        <v>219321</v>
      </c>
      <c r="H22" s="190">
        <f t="shared" si="1"/>
        <v>219385</v>
      </c>
      <c r="I22" s="190">
        <f>'TABLE-2'!D21+'TABLE-2'!E21+'TABLE-2'!F21</f>
        <v>328222</v>
      </c>
      <c r="J22" s="408">
        <f t="shared" si="2"/>
        <v>66.8404311715851</v>
      </c>
      <c r="L22" s="32"/>
      <c r="M22" s="32"/>
    </row>
    <row r="23" spans="1:13" ht="12.75" customHeight="1">
      <c r="A23" s="115">
        <v>17</v>
      </c>
      <c r="B23" s="116" t="s">
        <v>21</v>
      </c>
      <c r="C23" s="116">
        <v>0</v>
      </c>
      <c r="D23" s="116">
        <v>0</v>
      </c>
      <c r="E23" s="116">
        <v>0</v>
      </c>
      <c r="F23" s="190">
        <f t="shared" si="0"/>
        <v>0</v>
      </c>
      <c r="G23" s="190">
        <f>'TABLE-2'!G22+'TABLE-2'!H22+'TABLE-2'!I22</f>
        <v>237031</v>
      </c>
      <c r="H23" s="190">
        <f t="shared" si="1"/>
        <v>237031</v>
      </c>
      <c r="I23" s="190">
        <f>'TABLE-2'!D22+'TABLE-2'!E22+'TABLE-2'!F22</f>
        <v>746249</v>
      </c>
      <c r="J23" s="408">
        <f t="shared" si="2"/>
        <v>31.76299063717338</v>
      </c>
      <c r="L23" s="513"/>
      <c r="M23" s="513"/>
    </row>
    <row r="24" spans="1:13" ht="12.75" customHeight="1">
      <c r="A24" s="115">
        <v>18</v>
      </c>
      <c r="B24" s="116" t="s">
        <v>19</v>
      </c>
      <c r="C24" s="116">
        <v>0</v>
      </c>
      <c r="D24" s="116">
        <v>0</v>
      </c>
      <c r="E24" s="116">
        <v>0</v>
      </c>
      <c r="F24" s="190">
        <f t="shared" si="0"/>
        <v>0</v>
      </c>
      <c r="G24" s="190">
        <f>'TABLE-2'!G23+'TABLE-2'!H23+'TABLE-2'!I23</f>
        <v>8906</v>
      </c>
      <c r="H24" s="190">
        <f t="shared" si="1"/>
        <v>8906</v>
      </c>
      <c r="I24" s="190">
        <f>'TABLE-2'!D23+'TABLE-2'!E23+'TABLE-2'!F23</f>
        <v>9511</v>
      </c>
      <c r="J24" s="408">
        <f t="shared" si="2"/>
        <v>93.63894438019136</v>
      </c>
      <c r="L24" s="513"/>
      <c r="M24" s="513"/>
    </row>
    <row r="25" spans="1:13" ht="12.75" customHeight="1">
      <c r="A25" s="115">
        <v>19</v>
      </c>
      <c r="B25" s="116" t="s">
        <v>124</v>
      </c>
      <c r="C25" s="116">
        <v>0</v>
      </c>
      <c r="D25" s="116">
        <v>39</v>
      </c>
      <c r="E25" s="116">
        <v>0</v>
      </c>
      <c r="F25" s="190">
        <f t="shared" si="0"/>
        <v>39</v>
      </c>
      <c r="G25" s="190">
        <f>'TABLE-2'!G24+'TABLE-2'!H24+'TABLE-2'!I24</f>
        <v>12882</v>
      </c>
      <c r="H25" s="190">
        <f t="shared" si="1"/>
        <v>12921</v>
      </c>
      <c r="I25" s="190">
        <f>'TABLE-2'!D24+'TABLE-2'!E24+'TABLE-2'!F24</f>
        <v>29700</v>
      </c>
      <c r="J25" s="408">
        <f t="shared" si="2"/>
        <v>43.505050505050505</v>
      </c>
      <c r="L25" s="513"/>
      <c r="M25" s="513"/>
    </row>
    <row r="26" spans="1:13" s="120" customFormat="1" ht="12.75" customHeight="1">
      <c r="A26" s="175"/>
      <c r="B26" s="121" t="s">
        <v>224</v>
      </c>
      <c r="C26" s="121">
        <f aca="true" t="shared" si="3" ref="C26:I26">SUM(C7:C25)</f>
        <v>44213</v>
      </c>
      <c r="D26" s="121">
        <f t="shared" si="3"/>
        <v>813</v>
      </c>
      <c r="E26" s="121">
        <f t="shared" si="3"/>
        <v>137216</v>
      </c>
      <c r="F26" s="249">
        <f t="shared" si="3"/>
        <v>182242</v>
      </c>
      <c r="G26" s="249">
        <f t="shared" si="3"/>
        <v>2672352</v>
      </c>
      <c r="H26" s="249">
        <f t="shared" si="3"/>
        <v>2854594</v>
      </c>
      <c r="I26" s="249">
        <f t="shared" si="3"/>
        <v>4967361</v>
      </c>
      <c r="J26" s="409">
        <f aca="true" t="shared" si="4" ref="J26:J34">(H26/I26)*100</f>
        <v>57.46701316856174</v>
      </c>
      <c r="L26" s="514"/>
      <c r="M26" s="514"/>
    </row>
    <row r="27" spans="1:13" ht="12.75" customHeight="1">
      <c r="A27" s="54">
        <v>20</v>
      </c>
      <c r="B27" s="116" t="s">
        <v>23</v>
      </c>
      <c r="C27" s="116">
        <v>0</v>
      </c>
      <c r="D27" s="116">
        <v>0</v>
      </c>
      <c r="E27" s="116">
        <v>0</v>
      </c>
      <c r="F27" s="190">
        <f aca="true" t="shared" si="5" ref="F27:F33">C27+D27+E27</f>
        <v>0</v>
      </c>
      <c r="G27" s="190">
        <f>'TABLE-2'!G26+'TABLE-2'!H26+'TABLE-2'!I26</f>
        <v>17797</v>
      </c>
      <c r="H27" s="190">
        <f aca="true" t="shared" si="6" ref="H27:H33">F27+G27</f>
        <v>17797</v>
      </c>
      <c r="I27" s="190">
        <f>'TABLE-2'!D26+'TABLE-2'!E26+'TABLE-2'!F26</f>
        <v>11016</v>
      </c>
      <c r="J27" s="408">
        <f t="shared" si="4"/>
        <v>161.5559186637618</v>
      </c>
      <c r="L27" s="513"/>
      <c r="M27" s="513"/>
    </row>
    <row r="28" spans="1:13" ht="12.75" customHeight="1">
      <c r="A28" s="54">
        <v>21</v>
      </c>
      <c r="B28" s="116" t="s">
        <v>269</v>
      </c>
      <c r="C28" s="116">
        <v>0</v>
      </c>
      <c r="D28" s="116">
        <v>0</v>
      </c>
      <c r="E28" s="116">
        <v>0</v>
      </c>
      <c r="F28" s="190">
        <f t="shared" si="5"/>
        <v>0</v>
      </c>
      <c r="G28" s="190">
        <f>'TABLE-2'!G27+'TABLE-2'!H27+'TABLE-2'!I27</f>
        <v>38993</v>
      </c>
      <c r="H28" s="190">
        <f t="shared" si="6"/>
        <v>38993</v>
      </c>
      <c r="I28" s="190">
        <f>'TABLE-2'!D27+'TABLE-2'!E27+'TABLE-2'!F27</f>
        <v>7808</v>
      </c>
      <c r="J28" s="408">
        <f t="shared" si="4"/>
        <v>499.3980532786885</v>
      </c>
      <c r="L28" s="513"/>
      <c r="M28" s="513"/>
    </row>
    <row r="29" spans="1:13" ht="12.75" customHeight="1">
      <c r="A29" s="54">
        <v>22</v>
      </c>
      <c r="B29" s="116" t="s">
        <v>169</v>
      </c>
      <c r="C29" s="116">
        <v>0</v>
      </c>
      <c r="D29" s="116">
        <v>0</v>
      </c>
      <c r="E29" s="116">
        <v>0</v>
      </c>
      <c r="F29" s="190">
        <f t="shared" si="5"/>
        <v>0</v>
      </c>
      <c r="G29" s="190">
        <f>'TABLE-2'!G28+'TABLE-2'!H28+'TABLE-2'!I28</f>
        <v>29348</v>
      </c>
      <c r="H29" s="190">
        <f t="shared" si="6"/>
        <v>29348</v>
      </c>
      <c r="I29" s="190">
        <f>'TABLE-2'!D28+'TABLE-2'!E28+'TABLE-2'!F28</f>
        <v>17468</v>
      </c>
      <c r="J29" s="408">
        <f t="shared" si="4"/>
        <v>168.01007556675063</v>
      </c>
      <c r="L29" s="513"/>
      <c r="M29" s="513"/>
    </row>
    <row r="30" spans="1:13" ht="12.75" customHeight="1">
      <c r="A30" s="54">
        <v>23</v>
      </c>
      <c r="B30" s="116" t="s">
        <v>22</v>
      </c>
      <c r="C30" s="116">
        <v>0</v>
      </c>
      <c r="D30" s="116">
        <v>0</v>
      </c>
      <c r="E30" s="116">
        <v>0</v>
      </c>
      <c r="F30" s="190">
        <f t="shared" si="5"/>
        <v>0</v>
      </c>
      <c r="G30" s="190">
        <f>'TABLE-2'!G29+'TABLE-2'!H29+'TABLE-2'!I29</f>
        <v>87432</v>
      </c>
      <c r="H30" s="190">
        <f t="shared" si="6"/>
        <v>87432</v>
      </c>
      <c r="I30" s="190">
        <f>'TABLE-2'!D29+'TABLE-2'!E29+'TABLE-2'!F29</f>
        <v>16862</v>
      </c>
      <c r="J30" s="408">
        <f t="shared" si="4"/>
        <v>518.5150041513463</v>
      </c>
      <c r="L30" s="513"/>
      <c r="M30" s="513"/>
    </row>
    <row r="31" spans="1:13" s="102" customFormat="1" ht="12.75" customHeight="1">
      <c r="A31" s="54">
        <v>24</v>
      </c>
      <c r="B31" s="57" t="s">
        <v>141</v>
      </c>
      <c r="C31" s="57">
        <v>0</v>
      </c>
      <c r="D31" s="57">
        <v>0</v>
      </c>
      <c r="E31" s="57">
        <v>0</v>
      </c>
      <c r="F31" s="190">
        <f t="shared" si="5"/>
        <v>0</v>
      </c>
      <c r="G31" s="190">
        <f>'TABLE-2'!G30+'TABLE-2'!H30+'TABLE-2'!I30</f>
        <v>25927</v>
      </c>
      <c r="H31" s="190">
        <f t="shared" si="6"/>
        <v>25927</v>
      </c>
      <c r="I31" s="190">
        <f>'TABLE-2'!D30+'TABLE-2'!E30+'TABLE-2'!F30</f>
        <v>30705</v>
      </c>
      <c r="J31" s="408">
        <f t="shared" si="4"/>
        <v>84.43901644683277</v>
      </c>
      <c r="L31" s="32"/>
      <c r="M31" s="32"/>
    </row>
    <row r="32" spans="1:13" ht="12.75" customHeight="1">
      <c r="A32" s="54">
        <v>25</v>
      </c>
      <c r="B32" s="116" t="s">
        <v>18</v>
      </c>
      <c r="C32" s="116">
        <v>14202</v>
      </c>
      <c r="D32" s="116">
        <v>0</v>
      </c>
      <c r="E32" s="116">
        <v>71967</v>
      </c>
      <c r="F32" s="190">
        <f t="shared" si="5"/>
        <v>86169</v>
      </c>
      <c r="G32" s="190">
        <f>'TABLE-2'!G31+'TABLE-2'!H31+'TABLE-2'!I31</f>
        <v>1835602</v>
      </c>
      <c r="H32" s="190">
        <f t="shared" si="6"/>
        <v>1921771</v>
      </c>
      <c r="I32" s="190">
        <f>'TABLE-2'!D31+'TABLE-2'!E31+'TABLE-2'!F31</f>
        <v>2638437</v>
      </c>
      <c r="J32" s="408">
        <f t="shared" si="4"/>
        <v>72.83747915906274</v>
      </c>
      <c r="L32" s="513"/>
      <c r="M32" s="513"/>
    </row>
    <row r="33" spans="1:13" ht="12.75" customHeight="1">
      <c r="A33" s="54">
        <v>26</v>
      </c>
      <c r="B33" s="116" t="s">
        <v>104</v>
      </c>
      <c r="C33" s="116">
        <v>293</v>
      </c>
      <c r="D33" s="116">
        <v>288</v>
      </c>
      <c r="E33" s="116">
        <v>37185</v>
      </c>
      <c r="F33" s="190">
        <f t="shared" si="5"/>
        <v>37766</v>
      </c>
      <c r="G33" s="190">
        <f>'TABLE-2'!G32+'TABLE-2'!H32+'TABLE-2'!I32</f>
        <v>787466</v>
      </c>
      <c r="H33" s="190">
        <f t="shared" si="6"/>
        <v>825232</v>
      </c>
      <c r="I33" s="190">
        <f>'TABLE-2'!D32+'TABLE-2'!E32+'TABLE-2'!F32</f>
        <v>1657366</v>
      </c>
      <c r="J33" s="408">
        <f t="shared" si="4"/>
        <v>49.79177803816417</v>
      </c>
      <c r="L33" s="513"/>
      <c r="M33" s="513"/>
    </row>
    <row r="34" spans="1:13" s="120" customFormat="1" ht="12.75" customHeight="1">
      <c r="A34" s="175"/>
      <c r="B34" s="121" t="s">
        <v>226</v>
      </c>
      <c r="C34" s="121">
        <f aca="true" t="shared" si="7" ref="C34:I34">SUM(C27:C33)</f>
        <v>14495</v>
      </c>
      <c r="D34" s="121">
        <f t="shared" si="7"/>
        <v>288</v>
      </c>
      <c r="E34" s="121">
        <f t="shared" si="7"/>
        <v>109152</v>
      </c>
      <c r="F34" s="249">
        <f t="shared" si="7"/>
        <v>123935</v>
      </c>
      <c r="G34" s="249">
        <f t="shared" si="7"/>
        <v>2822565</v>
      </c>
      <c r="H34" s="249">
        <f t="shared" si="7"/>
        <v>2946500</v>
      </c>
      <c r="I34" s="249">
        <f t="shared" si="7"/>
        <v>4379662</v>
      </c>
      <c r="J34" s="409">
        <f t="shared" si="4"/>
        <v>67.27688118398177</v>
      </c>
      <c r="L34" s="514"/>
      <c r="M34" s="514"/>
    </row>
    <row r="35" spans="1:13" ht="12.75" customHeight="1">
      <c r="A35" s="54">
        <v>27</v>
      </c>
      <c r="B35" s="116" t="s">
        <v>163</v>
      </c>
      <c r="C35" s="116">
        <v>0</v>
      </c>
      <c r="D35" s="116">
        <v>0</v>
      </c>
      <c r="E35" s="116">
        <v>0</v>
      </c>
      <c r="F35" s="190">
        <f aca="true" t="shared" si="8" ref="F35:F47">C35+D35+E35</f>
        <v>0</v>
      </c>
      <c r="G35" s="190">
        <f>'TABLE-2'!G34+'TABLE-2'!H34+'TABLE-2'!I34</f>
        <v>10834</v>
      </c>
      <c r="H35" s="190">
        <f aca="true" t="shared" si="9" ref="H35:H47">F35+G35</f>
        <v>10834</v>
      </c>
      <c r="I35" s="190">
        <f>'TABLE-2'!D34+'TABLE-2'!E34+'TABLE-2'!F34</f>
        <v>82348</v>
      </c>
      <c r="J35" s="408">
        <f aca="true" t="shared" si="10" ref="J35:J47">(H35/I35)*100</f>
        <v>13.156360810220042</v>
      </c>
      <c r="L35" s="513"/>
      <c r="M35" s="513"/>
    </row>
    <row r="36" spans="1:13" s="102" customFormat="1" ht="12.75" customHeight="1">
      <c r="A36" s="54">
        <v>28</v>
      </c>
      <c r="B36" s="57" t="s">
        <v>231</v>
      </c>
      <c r="C36" s="57">
        <v>0</v>
      </c>
      <c r="D36" s="57">
        <v>0</v>
      </c>
      <c r="E36" s="57">
        <v>0</v>
      </c>
      <c r="F36" s="190">
        <f t="shared" si="8"/>
        <v>0</v>
      </c>
      <c r="G36" s="190">
        <f>'TABLE-2'!G35+'TABLE-2'!H35+'TABLE-2'!I35</f>
        <v>210141</v>
      </c>
      <c r="H36" s="190">
        <f t="shared" si="9"/>
        <v>210141</v>
      </c>
      <c r="I36" s="190">
        <f>'TABLE-2'!D35+'TABLE-2'!E35+'TABLE-2'!F35</f>
        <v>140133</v>
      </c>
      <c r="J36" s="408">
        <f t="shared" si="10"/>
        <v>149.95825394446706</v>
      </c>
      <c r="L36" s="32"/>
      <c r="M36" s="32"/>
    </row>
    <row r="37" spans="1:13" ht="12.75" customHeight="1">
      <c r="A37" s="54">
        <v>29</v>
      </c>
      <c r="B37" s="116" t="s">
        <v>218</v>
      </c>
      <c r="C37" s="116">
        <v>0</v>
      </c>
      <c r="D37" s="116">
        <v>0</v>
      </c>
      <c r="E37" s="116">
        <v>0</v>
      </c>
      <c r="F37" s="190">
        <f t="shared" si="8"/>
        <v>0</v>
      </c>
      <c r="G37" s="190">
        <f>'TABLE-2'!G36+'TABLE-2'!H36+'TABLE-2'!I36</f>
        <v>318291</v>
      </c>
      <c r="H37" s="190">
        <f t="shared" si="9"/>
        <v>318291</v>
      </c>
      <c r="I37" s="190">
        <f>'TABLE-2'!D36+'TABLE-2'!E36+'TABLE-2'!F36</f>
        <v>121808</v>
      </c>
      <c r="J37" s="408">
        <f t="shared" si="10"/>
        <v>261.3054971758833</v>
      </c>
      <c r="L37" s="513"/>
      <c r="M37" s="513"/>
    </row>
    <row r="38" spans="1:13" ht="12.75" customHeight="1">
      <c r="A38" s="54">
        <v>30</v>
      </c>
      <c r="B38" s="116" t="s">
        <v>236</v>
      </c>
      <c r="C38" s="116">
        <v>0</v>
      </c>
      <c r="D38" s="116">
        <v>0</v>
      </c>
      <c r="E38" s="116">
        <v>0</v>
      </c>
      <c r="F38" s="190">
        <f t="shared" si="8"/>
        <v>0</v>
      </c>
      <c r="G38" s="190">
        <f>'TABLE-2'!G37+'TABLE-2'!H37+'TABLE-2'!I37</f>
        <v>133223</v>
      </c>
      <c r="H38" s="190">
        <f t="shared" si="9"/>
        <v>133223</v>
      </c>
      <c r="I38" s="190">
        <f>'TABLE-2'!D37+'TABLE-2'!E37+'TABLE-2'!F37</f>
        <v>279769</v>
      </c>
      <c r="J38" s="408">
        <f t="shared" si="10"/>
        <v>47.618928473133195</v>
      </c>
      <c r="L38" s="513"/>
      <c r="M38" s="513"/>
    </row>
    <row r="39" spans="1:13" s="102" customFormat="1" ht="12.75" customHeight="1">
      <c r="A39" s="54">
        <v>31</v>
      </c>
      <c r="B39" s="57" t="s">
        <v>219</v>
      </c>
      <c r="C39" s="57">
        <v>0</v>
      </c>
      <c r="D39" s="57">
        <v>0</v>
      </c>
      <c r="E39" s="57">
        <v>0</v>
      </c>
      <c r="F39" s="190">
        <f t="shared" si="8"/>
        <v>0</v>
      </c>
      <c r="G39" s="190">
        <f>'TABLE-2'!G38+'TABLE-2'!H38+'TABLE-2'!I38</f>
        <v>30019</v>
      </c>
      <c r="H39" s="190">
        <f t="shared" si="9"/>
        <v>30019</v>
      </c>
      <c r="I39" s="190">
        <f>'TABLE-2'!D38+'TABLE-2'!E38+'TABLE-2'!F38</f>
        <v>48321</v>
      </c>
      <c r="J39" s="408">
        <f t="shared" si="10"/>
        <v>62.12412822582314</v>
      </c>
      <c r="L39" s="32"/>
      <c r="M39" s="32"/>
    </row>
    <row r="40" spans="1:13" ht="12.75" customHeight="1">
      <c r="A40" s="54">
        <v>32</v>
      </c>
      <c r="B40" s="116" t="s">
        <v>220</v>
      </c>
      <c r="C40" s="116">
        <v>0</v>
      </c>
      <c r="D40" s="116">
        <v>0</v>
      </c>
      <c r="E40" s="116">
        <v>0</v>
      </c>
      <c r="F40" s="190">
        <f t="shared" si="8"/>
        <v>0</v>
      </c>
      <c r="G40" s="190">
        <f>'TABLE-2'!G39+'TABLE-2'!H39+'TABLE-2'!I39</f>
        <v>4347</v>
      </c>
      <c r="H40" s="190">
        <f t="shared" si="9"/>
        <v>4347</v>
      </c>
      <c r="I40" s="190">
        <f>'TABLE-2'!D39+'TABLE-2'!E39+'TABLE-2'!F39</f>
        <v>3114</v>
      </c>
      <c r="J40" s="408">
        <f t="shared" si="10"/>
        <v>139.59537572254334</v>
      </c>
      <c r="L40" s="513"/>
      <c r="M40" s="513"/>
    </row>
    <row r="41" spans="1:13" ht="12.75" customHeight="1">
      <c r="A41" s="110">
        <v>33</v>
      </c>
      <c r="B41" s="149" t="s">
        <v>363</v>
      </c>
      <c r="C41" s="116">
        <v>0</v>
      </c>
      <c r="D41" s="116">
        <v>0</v>
      </c>
      <c r="E41" s="116">
        <v>0</v>
      </c>
      <c r="F41" s="190">
        <f>C41+D41+E41</f>
        <v>0</v>
      </c>
      <c r="G41" s="190">
        <f>'TABLE-2'!G40+'TABLE-2'!H40+'TABLE-2'!I40</f>
        <v>5006</v>
      </c>
      <c r="H41" s="190">
        <f>F41+G41</f>
        <v>5006</v>
      </c>
      <c r="I41" s="190">
        <f>'TABLE-2'!D40+'TABLE-2'!E40+'TABLE-2'!F40</f>
        <v>2163</v>
      </c>
      <c r="J41" s="408">
        <f>(H41/I41)*100</f>
        <v>231.43781784558485</v>
      </c>
      <c r="L41" s="513"/>
      <c r="M41" s="513"/>
    </row>
    <row r="42" spans="1:13" s="102" customFormat="1" ht="12.75" customHeight="1">
      <c r="A42" s="54">
        <v>34</v>
      </c>
      <c r="B42" s="57" t="s">
        <v>242</v>
      </c>
      <c r="C42" s="57">
        <v>0</v>
      </c>
      <c r="D42" s="57">
        <v>0</v>
      </c>
      <c r="E42" s="57">
        <v>0</v>
      </c>
      <c r="F42" s="190">
        <f t="shared" si="8"/>
        <v>0</v>
      </c>
      <c r="G42" s="190">
        <f>'TABLE-2'!G41+'TABLE-2'!H41+'TABLE-2'!I41</f>
        <v>869</v>
      </c>
      <c r="H42" s="190">
        <f t="shared" si="9"/>
        <v>869</v>
      </c>
      <c r="I42" s="190">
        <f>'TABLE-2'!D41+'TABLE-2'!E41+'TABLE-2'!F41</f>
        <v>2275</v>
      </c>
      <c r="J42" s="408">
        <f t="shared" si="10"/>
        <v>38.1978021978022</v>
      </c>
      <c r="L42" s="32"/>
      <c r="M42" s="32"/>
    </row>
    <row r="43" spans="1:13" ht="12.75" customHeight="1">
      <c r="A43" s="54">
        <v>35</v>
      </c>
      <c r="B43" s="116" t="s">
        <v>256</v>
      </c>
      <c r="C43" s="116">
        <v>0</v>
      </c>
      <c r="D43" s="116">
        <v>0</v>
      </c>
      <c r="E43" s="116">
        <v>0</v>
      </c>
      <c r="F43" s="190">
        <f t="shared" si="8"/>
        <v>0</v>
      </c>
      <c r="G43" s="190">
        <f>'TABLE-2'!G42+'TABLE-2'!H42+'TABLE-2'!I42</f>
        <v>8795</v>
      </c>
      <c r="H43" s="190">
        <f t="shared" si="9"/>
        <v>8795</v>
      </c>
      <c r="I43" s="190">
        <f>'TABLE-2'!D42+'TABLE-2'!E42+'TABLE-2'!F42</f>
        <v>14606</v>
      </c>
      <c r="J43" s="408">
        <f t="shared" si="10"/>
        <v>60.21498014514584</v>
      </c>
      <c r="L43" s="513"/>
      <c r="M43" s="513"/>
    </row>
    <row r="44" spans="1:13" ht="12.75" customHeight="1">
      <c r="A44" s="54">
        <v>36</v>
      </c>
      <c r="B44" s="116" t="s">
        <v>24</v>
      </c>
      <c r="C44" s="116">
        <v>0</v>
      </c>
      <c r="D44" s="116">
        <v>0</v>
      </c>
      <c r="E44" s="116">
        <v>0</v>
      </c>
      <c r="F44" s="190">
        <f t="shared" si="8"/>
        <v>0</v>
      </c>
      <c r="G44" s="190">
        <f>'TABLE-2'!G43+'TABLE-2'!H43+'TABLE-2'!I43</f>
        <v>4737</v>
      </c>
      <c r="H44" s="190">
        <f t="shared" si="9"/>
        <v>4737</v>
      </c>
      <c r="I44" s="190">
        <f>'TABLE-2'!D43+'TABLE-2'!E43+'TABLE-2'!F43</f>
        <v>21692</v>
      </c>
      <c r="J44" s="408">
        <f t="shared" si="10"/>
        <v>21.837543794947443</v>
      </c>
      <c r="L44" s="513"/>
      <c r="M44" s="513"/>
    </row>
    <row r="45" spans="1:13" ht="12.75" customHeight="1">
      <c r="A45" s="54">
        <v>37</v>
      </c>
      <c r="B45" s="116" t="s">
        <v>223</v>
      </c>
      <c r="C45" s="116">
        <v>0</v>
      </c>
      <c r="D45" s="116">
        <v>0</v>
      </c>
      <c r="E45" s="116">
        <v>0</v>
      </c>
      <c r="F45" s="190">
        <f t="shared" si="8"/>
        <v>0</v>
      </c>
      <c r="G45" s="190">
        <f>'TABLE-2'!G44+'TABLE-2'!H44+'TABLE-2'!I44</f>
        <v>5982</v>
      </c>
      <c r="H45" s="190">
        <f t="shared" si="9"/>
        <v>5982</v>
      </c>
      <c r="I45" s="190">
        <f>'TABLE-2'!D44+'TABLE-2'!E44+'TABLE-2'!F44</f>
        <v>4699</v>
      </c>
      <c r="J45" s="408">
        <f t="shared" si="10"/>
        <v>127.3036816343903</v>
      </c>
      <c r="L45" s="513"/>
      <c r="M45" s="513"/>
    </row>
    <row r="46" spans="1:13" ht="12.75" customHeight="1">
      <c r="A46" s="54">
        <v>38</v>
      </c>
      <c r="B46" s="116" t="s">
        <v>364</v>
      </c>
      <c r="C46" s="116">
        <v>0</v>
      </c>
      <c r="D46" s="116">
        <v>0</v>
      </c>
      <c r="E46" s="116">
        <v>0</v>
      </c>
      <c r="F46" s="190">
        <f t="shared" si="8"/>
        <v>0</v>
      </c>
      <c r="G46" s="190">
        <f>'TABLE-2'!G45+'TABLE-2'!H45+'TABLE-2'!I45</f>
        <v>677</v>
      </c>
      <c r="H46" s="190">
        <f t="shared" si="9"/>
        <v>677</v>
      </c>
      <c r="I46" s="190">
        <f>'TABLE-2'!D45+'TABLE-2'!E45+'TABLE-2'!F45</f>
        <v>4206</v>
      </c>
      <c r="J46" s="408">
        <f t="shared" si="10"/>
        <v>16.096053257251544</v>
      </c>
      <c r="L46" s="513"/>
      <c r="M46" s="513"/>
    </row>
    <row r="47" spans="1:13" ht="12.75" customHeight="1">
      <c r="A47" s="54">
        <v>39</v>
      </c>
      <c r="B47" s="116" t="s">
        <v>365</v>
      </c>
      <c r="C47" s="116">
        <v>0</v>
      </c>
      <c r="D47" s="116">
        <v>0</v>
      </c>
      <c r="E47" s="116">
        <v>0</v>
      </c>
      <c r="F47" s="190">
        <f t="shared" si="8"/>
        <v>0</v>
      </c>
      <c r="G47" s="190">
        <f>'TABLE-2'!G46+'TABLE-2'!H46+'TABLE-2'!I46</f>
        <v>101098</v>
      </c>
      <c r="H47" s="190">
        <f t="shared" si="9"/>
        <v>101098</v>
      </c>
      <c r="I47" s="190">
        <f>'TABLE-2'!D46+'TABLE-2'!E46+'TABLE-2'!F46</f>
        <v>156939</v>
      </c>
      <c r="J47" s="408">
        <f t="shared" si="10"/>
        <v>64.4186594791607</v>
      </c>
      <c r="L47" s="513"/>
      <c r="M47" s="513"/>
    </row>
    <row r="48" spans="1:13" s="120" customFormat="1" ht="12.75" customHeight="1">
      <c r="A48" s="175"/>
      <c r="B48" s="121" t="s">
        <v>225</v>
      </c>
      <c r="C48" s="121">
        <f aca="true" t="shared" si="11" ref="C48:I48">SUM(C35:C47)</f>
        <v>0</v>
      </c>
      <c r="D48" s="121">
        <f t="shared" si="11"/>
        <v>0</v>
      </c>
      <c r="E48" s="121">
        <f t="shared" si="11"/>
        <v>0</v>
      </c>
      <c r="F48" s="249">
        <f t="shared" si="11"/>
        <v>0</v>
      </c>
      <c r="G48" s="249">
        <f t="shared" si="11"/>
        <v>834019</v>
      </c>
      <c r="H48" s="249">
        <f t="shared" si="11"/>
        <v>834019</v>
      </c>
      <c r="I48" s="249">
        <f t="shared" si="11"/>
        <v>882073</v>
      </c>
      <c r="J48" s="409">
        <f>(H48/I48)*100</f>
        <v>94.55215157929105</v>
      </c>
      <c r="L48" s="514"/>
      <c r="M48" s="514"/>
    </row>
    <row r="49" spans="1:13" s="120" customFormat="1" ht="12.75" customHeight="1">
      <c r="A49" s="175"/>
      <c r="B49" s="175" t="s">
        <v>123</v>
      </c>
      <c r="C49" s="121">
        <f aca="true" t="shared" si="12" ref="C49:I49">C26+C34+C48</f>
        <v>58708</v>
      </c>
      <c r="D49" s="121">
        <f t="shared" si="12"/>
        <v>1101</v>
      </c>
      <c r="E49" s="121">
        <f t="shared" si="12"/>
        <v>246368</v>
      </c>
      <c r="F49" s="249">
        <f t="shared" si="12"/>
        <v>306177</v>
      </c>
      <c r="G49" s="249">
        <f t="shared" si="12"/>
        <v>6328936</v>
      </c>
      <c r="H49" s="249">
        <f t="shared" si="12"/>
        <v>6635113</v>
      </c>
      <c r="I49" s="249">
        <f t="shared" si="12"/>
        <v>10229096</v>
      </c>
      <c r="J49" s="409">
        <f>(H49/I49)*100</f>
        <v>64.86509658331488</v>
      </c>
      <c r="K49" s="514"/>
      <c r="L49" s="514"/>
      <c r="M49" s="514"/>
    </row>
    <row r="50" spans="1:13" ht="12.75">
      <c r="A50" s="120"/>
      <c r="K50" s="120"/>
      <c r="L50" s="513"/>
      <c r="M50" s="513"/>
    </row>
    <row r="51" spans="1:13" ht="14.25">
      <c r="A51" s="120"/>
      <c r="D51" s="504"/>
      <c r="E51" s="504"/>
      <c r="F51" s="251"/>
      <c r="H51" s="191" t="s">
        <v>36</v>
      </c>
      <c r="K51" s="120"/>
      <c r="L51" s="513"/>
      <c r="M51" s="513"/>
    </row>
    <row r="52" spans="1:13" ht="18" customHeight="1">
      <c r="A52" s="120"/>
      <c r="D52" s="504"/>
      <c r="E52" s="504"/>
      <c r="F52" s="251"/>
      <c r="G52" s="250"/>
      <c r="K52" s="120"/>
      <c r="L52" s="514"/>
      <c r="M52" s="514"/>
    </row>
    <row r="53" spans="1:13" ht="15.75" customHeight="1">
      <c r="A53" s="120"/>
      <c r="D53" s="504"/>
      <c r="E53" s="504"/>
      <c r="F53" s="251"/>
      <c r="G53" s="250"/>
      <c r="H53" s="191" t="s">
        <v>36</v>
      </c>
      <c r="I53" s="250"/>
      <c r="K53" s="120"/>
      <c r="L53" s="514"/>
      <c r="M53" s="514"/>
    </row>
    <row r="54" spans="1:13" ht="12.75">
      <c r="A54" s="352" t="s">
        <v>4</v>
      </c>
      <c r="B54" s="352" t="s">
        <v>5</v>
      </c>
      <c r="C54" s="282" t="s">
        <v>48</v>
      </c>
      <c r="D54" s="282" t="s">
        <v>49</v>
      </c>
      <c r="E54" s="282" t="s">
        <v>50</v>
      </c>
      <c r="F54" s="257" t="s">
        <v>3</v>
      </c>
      <c r="G54" s="257" t="s">
        <v>46</v>
      </c>
      <c r="H54" s="257" t="s">
        <v>51</v>
      </c>
      <c r="I54" s="257" t="s">
        <v>45</v>
      </c>
      <c r="J54" s="257" t="s">
        <v>52</v>
      </c>
      <c r="K54" s="510"/>
      <c r="L54" s="511"/>
      <c r="M54" s="511"/>
    </row>
    <row r="55" spans="1:13" ht="12.75">
      <c r="A55" s="332" t="s">
        <v>6</v>
      </c>
      <c r="B55" s="332"/>
      <c r="C55" s="283"/>
      <c r="D55" s="283"/>
      <c r="E55" s="283"/>
      <c r="F55" s="258" t="s">
        <v>53</v>
      </c>
      <c r="G55" s="256"/>
      <c r="H55" s="258" t="s">
        <v>54</v>
      </c>
      <c r="I55" s="258"/>
      <c r="J55" s="258" t="s">
        <v>55</v>
      </c>
      <c r="K55" s="510"/>
      <c r="L55" s="514"/>
      <c r="M55" s="511"/>
    </row>
    <row r="56" spans="1:13" ht="15" customHeight="1">
      <c r="A56" s="54">
        <v>40</v>
      </c>
      <c r="B56" s="57" t="s">
        <v>78</v>
      </c>
      <c r="C56" s="116">
        <v>0</v>
      </c>
      <c r="D56" s="116">
        <v>0</v>
      </c>
      <c r="E56" s="116">
        <v>0</v>
      </c>
      <c r="F56" s="190">
        <f aca="true" t="shared" si="13" ref="F56:F63">C56+D56+E56</f>
        <v>0</v>
      </c>
      <c r="G56" s="190">
        <f>'TABLE-2'!G54+'TABLE-2'!H54+'TABLE-2'!I54</f>
        <v>25811</v>
      </c>
      <c r="H56" s="190">
        <f aca="true" t="shared" si="14" ref="H56:H63">F56+G56</f>
        <v>25811</v>
      </c>
      <c r="I56" s="190">
        <f>'TABLE-2'!D54+'TABLE-2'!E54+'TABLE-2'!F54</f>
        <v>57427</v>
      </c>
      <c r="J56" s="408">
        <f aca="true" t="shared" si="15" ref="J56:J63">(H56/I56)*100</f>
        <v>44.94575722221255</v>
      </c>
      <c r="K56" s="513"/>
      <c r="L56" s="513"/>
      <c r="M56" s="513"/>
    </row>
    <row r="57" spans="1:13" ht="15" customHeight="1">
      <c r="A57" s="54">
        <v>41</v>
      </c>
      <c r="B57" s="57" t="s">
        <v>278</v>
      </c>
      <c r="C57" s="116">
        <v>0</v>
      </c>
      <c r="D57" s="116">
        <v>0</v>
      </c>
      <c r="E57" s="116">
        <v>36740</v>
      </c>
      <c r="F57" s="190">
        <f t="shared" si="13"/>
        <v>36740</v>
      </c>
      <c r="G57" s="190">
        <f>'TABLE-2'!G55+'TABLE-2'!H55+'TABLE-2'!I55</f>
        <v>98801</v>
      </c>
      <c r="H57" s="190">
        <f t="shared" si="14"/>
        <v>135541</v>
      </c>
      <c r="I57" s="190">
        <f>'TABLE-2'!D55+'TABLE-2'!E55+'TABLE-2'!F55</f>
        <v>153434</v>
      </c>
      <c r="J57" s="408">
        <f t="shared" si="15"/>
        <v>88.33830832801074</v>
      </c>
      <c r="K57" s="513"/>
      <c r="L57" s="513"/>
      <c r="M57" s="513"/>
    </row>
    <row r="58" spans="1:13" ht="15" customHeight="1">
      <c r="A58" s="54">
        <v>42</v>
      </c>
      <c r="B58" s="57" t="s">
        <v>30</v>
      </c>
      <c r="C58" s="116">
        <v>0</v>
      </c>
      <c r="D58" s="116">
        <v>0</v>
      </c>
      <c r="E58" s="116">
        <v>5291</v>
      </c>
      <c r="F58" s="190">
        <f t="shared" si="13"/>
        <v>5291</v>
      </c>
      <c r="G58" s="190">
        <f>'TABLE-2'!G56+'TABLE-2'!H56+'TABLE-2'!I56</f>
        <v>7564</v>
      </c>
      <c r="H58" s="190">
        <f t="shared" si="14"/>
        <v>12855</v>
      </c>
      <c r="I58" s="190">
        <f>'TABLE-2'!D56+'TABLE-2'!E56+'TABLE-2'!F56</f>
        <v>21373</v>
      </c>
      <c r="J58" s="408">
        <f t="shared" si="15"/>
        <v>60.145978571094375</v>
      </c>
      <c r="K58" s="513" t="s">
        <v>36</v>
      </c>
      <c r="L58" s="513"/>
      <c r="M58" s="513"/>
    </row>
    <row r="59" spans="1:13" ht="15" customHeight="1">
      <c r="A59" s="54">
        <v>43</v>
      </c>
      <c r="B59" s="57" t="s">
        <v>234</v>
      </c>
      <c r="C59" s="116">
        <v>43962</v>
      </c>
      <c r="D59" s="116">
        <v>120</v>
      </c>
      <c r="E59" s="116">
        <v>31123</v>
      </c>
      <c r="F59" s="190">
        <f t="shared" si="13"/>
        <v>75205</v>
      </c>
      <c r="G59" s="190">
        <f>'TABLE-2'!G57+'TABLE-2'!H57+'TABLE-2'!I57</f>
        <v>116653</v>
      </c>
      <c r="H59" s="190">
        <f t="shared" si="14"/>
        <v>191858</v>
      </c>
      <c r="I59" s="190">
        <f>'TABLE-2'!D57+'TABLE-2'!E57+'TABLE-2'!F57</f>
        <v>171417</v>
      </c>
      <c r="J59" s="408">
        <f t="shared" si="15"/>
        <v>111.92472158537367</v>
      </c>
      <c r="K59" s="513"/>
      <c r="L59" s="513"/>
      <c r="M59" s="513"/>
    </row>
    <row r="60" spans="1:13" ht="15" customHeight="1">
      <c r="A60" s="54">
        <v>44</v>
      </c>
      <c r="B60" s="57" t="s">
        <v>29</v>
      </c>
      <c r="C60" s="116">
        <v>0</v>
      </c>
      <c r="D60" s="116">
        <v>0</v>
      </c>
      <c r="E60" s="116">
        <v>7173</v>
      </c>
      <c r="F60" s="190">
        <f t="shared" si="13"/>
        <v>7173</v>
      </c>
      <c r="G60" s="190">
        <f>'TABLE-2'!G58+'TABLE-2'!H58+'TABLE-2'!I58</f>
        <v>20562</v>
      </c>
      <c r="H60" s="190">
        <f t="shared" si="14"/>
        <v>27735</v>
      </c>
      <c r="I60" s="190">
        <f>'TABLE-2'!D58+'TABLE-2'!E58+'TABLE-2'!F58</f>
        <v>88174</v>
      </c>
      <c r="J60" s="408">
        <f t="shared" si="15"/>
        <v>31.454850636241975</v>
      </c>
      <c r="K60" s="513"/>
      <c r="L60" s="513"/>
      <c r="M60" s="513"/>
    </row>
    <row r="61" spans="1:13" ht="15" customHeight="1">
      <c r="A61" s="54">
        <v>45</v>
      </c>
      <c r="B61" s="57" t="s">
        <v>391</v>
      </c>
      <c r="C61" s="116">
        <v>1029</v>
      </c>
      <c r="D61" s="116">
        <v>0</v>
      </c>
      <c r="E61" s="116">
        <v>91431</v>
      </c>
      <c r="F61" s="190">
        <f>C61+D61+E61</f>
        <v>92460</v>
      </c>
      <c r="G61" s="190">
        <f>'TABLE-2'!G59+'TABLE-2'!H59+'TABLE-2'!I59</f>
        <v>150615</v>
      </c>
      <c r="H61" s="190">
        <f t="shared" si="14"/>
        <v>243075</v>
      </c>
      <c r="I61" s="190">
        <f>'TABLE-2'!D59+'TABLE-2'!E59+'TABLE-2'!F59</f>
        <v>257110</v>
      </c>
      <c r="J61" s="408">
        <f t="shared" si="15"/>
        <v>94.54124693710862</v>
      </c>
      <c r="K61" s="513"/>
      <c r="L61" s="513"/>
      <c r="M61" s="513"/>
    </row>
    <row r="62" spans="1:13" ht="15" customHeight="1">
      <c r="A62" s="54">
        <v>46</v>
      </c>
      <c r="B62" s="57" t="s">
        <v>25</v>
      </c>
      <c r="C62" s="116">
        <v>610</v>
      </c>
      <c r="D62" s="116">
        <v>0</v>
      </c>
      <c r="E62" s="116">
        <v>33896</v>
      </c>
      <c r="F62" s="190">
        <f>C62+D62+E62</f>
        <v>34506</v>
      </c>
      <c r="G62" s="190">
        <f>'TABLE-2'!G60+'TABLE-2'!H60+'TABLE-2'!I60</f>
        <v>16904</v>
      </c>
      <c r="H62" s="190">
        <f t="shared" si="14"/>
        <v>51410</v>
      </c>
      <c r="I62" s="190">
        <f>'TABLE-2'!D60+'TABLE-2'!E60+'TABLE-2'!F60</f>
        <v>49973</v>
      </c>
      <c r="J62" s="408">
        <f t="shared" si="15"/>
        <v>102.8755527985112</v>
      </c>
      <c r="K62" s="513"/>
      <c r="L62" s="513"/>
      <c r="M62" s="513"/>
    </row>
    <row r="63" spans="1:13" ht="15" customHeight="1">
      <c r="A63" s="54">
        <v>47</v>
      </c>
      <c r="B63" s="57" t="s">
        <v>28</v>
      </c>
      <c r="C63" s="116">
        <v>0</v>
      </c>
      <c r="D63" s="116">
        <v>0</v>
      </c>
      <c r="E63" s="116">
        <v>0</v>
      </c>
      <c r="F63" s="190">
        <f t="shared" si="13"/>
        <v>0</v>
      </c>
      <c r="G63" s="190">
        <f>'TABLE-2'!G61+'TABLE-2'!H61+'TABLE-2'!I61</f>
        <v>15736</v>
      </c>
      <c r="H63" s="190">
        <f t="shared" si="14"/>
        <v>15736</v>
      </c>
      <c r="I63" s="190">
        <f>'TABLE-2'!D61+'TABLE-2'!E61+'TABLE-2'!F61</f>
        <v>30661</v>
      </c>
      <c r="J63" s="408">
        <f t="shared" si="15"/>
        <v>51.3225269886827</v>
      </c>
      <c r="K63" s="513"/>
      <c r="L63" s="513"/>
      <c r="M63" s="513"/>
    </row>
    <row r="64" spans="1:13" ht="15" customHeight="1">
      <c r="A64" s="54"/>
      <c r="B64" s="175" t="s">
        <v>123</v>
      </c>
      <c r="C64" s="121">
        <f aca="true" t="shared" si="16" ref="C64:I64">SUM(C56:C63)</f>
        <v>45601</v>
      </c>
      <c r="D64" s="121">
        <f t="shared" si="16"/>
        <v>120</v>
      </c>
      <c r="E64" s="121">
        <f t="shared" si="16"/>
        <v>205654</v>
      </c>
      <c r="F64" s="249">
        <f t="shared" si="16"/>
        <v>251375</v>
      </c>
      <c r="G64" s="249">
        <f t="shared" si="16"/>
        <v>452646</v>
      </c>
      <c r="H64" s="249">
        <f t="shared" si="16"/>
        <v>704021</v>
      </c>
      <c r="I64" s="249">
        <f t="shared" si="16"/>
        <v>829569</v>
      </c>
      <c r="J64" s="409">
        <f>(H64/I64)*100</f>
        <v>84.8658761356801</v>
      </c>
      <c r="K64" s="513"/>
      <c r="L64" s="513"/>
      <c r="M64" s="513"/>
    </row>
    <row r="65" spans="1:13" ht="15" customHeight="1">
      <c r="A65" s="54"/>
      <c r="B65" s="515"/>
      <c r="C65" s="116"/>
      <c r="D65" s="116"/>
      <c r="E65" s="116"/>
      <c r="F65" s="190"/>
      <c r="G65" s="190"/>
      <c r="H65" s="190"/>
      <c r="I65" s="190" t="s">
        <v>36</v>
      </c>
      <c r="J65" s="408"/>
      <c r="K65" s="513"/>
      <c r="L65" s="513"/>
      <c r="M65" s="513"/>
    </row>
    <row r="66" spans="1:13" ht="15" customHeight="1">
      <c r="A66" s="54">
        <v>48</v>
      </c>
      <c r="B66" s="116" t="s">
        <v>34</v>
      </c>
      <c r="C66" s="116">
        <v>1482</v>
      </c>
      <c r="D66" s="116">
        <v>68</v>
      </c>
      <c r="E66" s="116">
        <v>74408</v>
      </c>
      <c r="F66" s="190">
        <f>C66+D66+E66</f>
        <v>75958</v>
      </c>
      <c r="G66" s="190">
        <f>'TABLE-2'!G64+'TABLE-2'!H64+'TABLE-2'!I64</f>
        <v>539613</v>
      </c>
      <c r="H66" s="190">
        <f>F66+G66</f>
        <v>615571</v>
      </c>
      <c r="I66" s="190">
        <f>'TABLE-2'!D64+'TABLE-2'!E64+'TABLE-2'!F64</f>
        <v>929123.00000001</v>
      </c>
      <c r="J66" s="408">
        <f>(H66/I66)*100</f>
        <v>66.25290731151779</v>
      </c>
      <c r="K66" s="513"/>
      <c r="L66" s="513"/>
      <c r="M66" s="513"/>
    </row>
    <row r="67" spans="1:13" ht="15" customHeight="1">
      <c r="A67" s="54">
        <v>49</v>
      </c>
      <c r="B67" s="116" t="s">
        <v>130</v>
      </c>
      <c r="C67" s="116">
        <v>105</v>
      </c>
      <c r="D67" s="116">
        <v>265</v>
      </c>
      <c r="E67" s="116">
        <v>1387</v>
      </c>
      <c r="F67" s="190">
        <f>C67+D67+E67</f>
        <v>1757</v>
      </c>
      <c r="G67" s="190">
        <f>'TABLE-2'!G65+'TABLE-2'!H65+'TABLE-2'!I65</f>
        <v>119869</v>
      </c>
      <c r="H67" s="190">
        <f>F67+G67</f>
        <v>121626</v>
      </c>
      <c r="I67" s="190">
        <f>'TABLE-2'!D65+'TABLE-2'!E65+'TABLE-2'!F65</f>
        <v>12381</v>
      </c>
      <c r="J67" s="408">
        <f>(H67/I67)*100</f>
        <v>982.3600678458929</v>
      </c>
      <c r="K67" s="513"/>
      <c r="L67" s="513"/>
      <c r="M67" s="513"/>
    </row>
    <row r="68" spans="1:12" ht="15" customHeight="1">
      <c r="A68" s="115"/>
      <c r="B68" s="175" t="s">
        <v>123</v>
      </c>
      <c r="C68" s="121">
        <f aca="true" t="shared" si="17" ref="C68:I68">SUM(C66:C67)</f>
        <v>1587</v>
      </c>
      <c r="D68" s="121">
        <f t="shared" si="17"/>
        <v>333</v>
      </c>
      <c r="E68" s="58">
        <f t="shared" si="17"/>
        <v>75795</v>
      </c>
      <c r="F68" s="249">
        <f t="shared" si="17"/>
        <v>77715</v>
      </c>
      <c r="G68" s="249">
        <f t="shared" si="17"/>
        <v>659482</v>
      </c>
      <c r="H68" s="249">
        <f t="shared" si="17"/>
        <v>737197</v>
      </c>
      <c r="I68" s="249">
        <f t="shared" si="17"/>
        <v>941504.00000001</v>
      </c>
      <c r="J68" s="409">
        <f>(H68/I68)*100</f>
        <v>78.29993287335924</v>
      </c>
      <c r="K68" s="514"/>
      <c r="L68" s="513"/>
    </row>
    <row r="69" spans="1:12" ht="15" customHeight="1">
      <c r="A69" s="115"/>
      <c r="B69" s="175"/>
      <c r="C69" s="121"/>
      <c r="D69" s="121"/>
      <c r="E69" s="121"/>
      <c r="F69" s="249"/>
      <c r="G69" s="249"/>
      <c r="H69" s="249"/>
      <c r="I69" s="249"/>
      <c r="J69" s="408"/>
      <c r="K69" s="514"/>
      <c r="L69" s="513"/>
    </row>
    <row r="70" spans="1:12" ht="15" customHeight="1">
      <c r="A70" s="115"/>
      <c r="B70" s="175" t="s">
        <v>35</v>
      </c>
      <c r="C70" s="121">
        <f aca="true" t="shared" si="18" ref="C70:I70">C49+C64+C68</f>
        <v>105896</v>
      </c>
      <c r="D70" s="121">
        <f t="shared" si="18"/>
        <v>1554</v>
      </c>
      <c r="E70" s="121">
        <f t="shared" si="18"/>
        <v>527817</v>
      </c>
      <c r="F70" s="249">
        <f t="shared" si="18"/>
        <v>635267</v>
      </c>
      <c r="G70" s="249">
        <f t="shared" si="18"/>
        <v>7441064</v>
      </c>
      <c r="H70" s="249">
        <f t="shared" si="18"/>
        <v>8076331</v>
      </c>
      <c r="I70" s="249">
        <f t="shared" si="18"/>
        <v>12000169.00000001</v>
      </c>
      <c r="J70" s="409">
        <f>(H70/I70)*100</f>
        <v>67.30181049950208</v>
      </c>
      <c r="K70" s="120"/>
      <c r="L70" s="513"/>
    </row>
    <row r="72" ht="12.75">
      <c r="C72" s="148">
        <v>3</v>
      </c>
    </row>
  </sheetData>
  <sheetProtection/>
  <printOptions gridLines="1" horizontalCentered="1"/>
  <pageMargins left="0.7480314960629921" right="0.7480314960629921" top="0.69" bottom="0.44" header="1.33" footer="0.32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4">
      <selection activeCell="L40" sqref="L40"/>
    </sheetView>
  </sheetViews>
  <sheetFormatPr defaultColWidth="9.140625" defaultRowHeight="12.75"/>
  <cols>
    <col min="1" max="1" width="3.7109375" style="117" customWidth="1"/>
    <col min="2" max="2" width="23.57421875" style="117" customWidth="1"/>
    <col min="3" max="3" width="12.7109375" style="127" customWidth="1"/>
    <col min="4" max="4" width="16.28125" style="290" customWidth="1"/>
    <col min="5" max="5" width="11.57421875" style="290" customWidth="1"/>
    <col min="6" max="6" width="11.140625" style="290" customWidth="1"/>
    <col min="7" max="7" width="12.57421875" style="411" customWidth="1"/>
    <col min="8" max="8" width="12.8515625" style="290" customWidth="1"/>
    <col min="9" max="9" width="8.8515625" style="411" customWidth="1"/>
    <col min="10" max="10" width="12.00390625" style="411" customWidth="1"/>
    <col min="11" max="11" width="8.8515625" style="411" customWidth="1"/>
    <col min="12" max="12" width="8.140625" style="411" customWidth="1"/>
    <col min="13" max="13" width="13.140625" style="411" customWidth="1"/>
    <col min="14" max="14" width="11.57421875" style="411" customWidth="1"/>
    <col min="15" max="16384" width="9.140625" style="117" customWidth="1"/>
  </cols>
  <sheetData>
    <row r="1" spans="1:14" ht="14.25">
      <c r="A1" s="120"/>
      <c r="B1" s="120"/>
      <c r="C1" s="504"/>
      <c r="D1" s="285"/>
      <c r="E1" s="285"/>
      <c r="F1" s="285"/>
      <c r="G1" s="532"/>
      <c r="H1" s="285"/>
      <c r="I1" s="530"/>
      <c r="J1" s="530"/>
      <c r="K1" s="530"/>
      <c r="L1" s="530"/>
      <c r="M1" s="530"/>
      <c r="N1" s="530"/>
    </row>
    <row r="2" spans="1:14" ht="14.25">
      <c r="A2" s="119"/>
      <c r="B2" s="119"/>
      <c r="C2" s="148"/>
      <c r="D2" s="285"/>
      <c r="E2" s="285"/>
      <c r="F2" s="285"/>
      <c r="G2" s="532"/>
      <c r="H2" s="280"/>
      <c r="I2" s="530"/>
      <c r="J2" s="530"/>
      <c r="K2" s="531" t="s">
        <v>36</v>
      </c>
      <c r="L2" s="531"/>
      <c r="M2" s="530"/>
      <c r="N2" s="530"/>
    </row>
    <row r="3" spans="1:14" ht="15.75" customHeight="1">
      <c r="A3" s="119"/>
      <c r="B3" s="119"/>
      <c r="C3" s="148"/>
      <c r="D3" s="285"/>
      <c r="E3" s="285"/>
      <c r="F3" s="285"/>
      <c r="G3" s="532"/>
      <c r="H3" s="280"/>
      <c r="I3" s="530"/>
      <c r="J3" s="530"/>
      <c r="K3" s="531"/>
      <c r="L3" s="531"/>
      <c r="M3" s="530"/>
      <c r="N3" s="530"/>
    </row>
    <row r="4" spans="1:14" ht="12.75">
      <c r="A4" s="352" t="s">
        <v>4</v>
      </c>
      <c r="B4" s="488" t="s">
        <v>5</v>
      </c>
      <c r="C4" s="278" t="s">
        <v>56</v>
      </c>
      <c r="D4" s="633" t="s">
        <v>280</v>
      </c>
      <c r="E4" s="634"/>
      <c r="F4" s="634"/>
      <c r="G4" s="635"/>
      <c r="H4" s="636" t="s">
        <v>131</v>
      </c>
      <c r="I4" s="637"/>
      <c r="J4" s="636" t="s">
        <v>132</v>
      </c>
      <c r="K4" s="638"/>
      <c r="L4" s="637"/>
      <c r="M4" s="542"/>
      <c r="N4" s="542"/>
    </row>
    <row r="5" spans="1:14" ht="12.75">
      <c r="A5" s="331" t="s">
        <v>6</v>
      </c>
      <c r="B5" s="489"/>
      <c r="C5" s="357" t="s">
        <v>57</v>
      </c>
      <c r="D5" s="286"/>
      <c r="E5" s="286"/>
      <c r="F5" s="286"/>
      <c r="G5" s="533"/>
      <c r="H5" s="639" t="s">
        <v>111</v>
      </c>
      <c r="I5" s="640"/>
      <c r="J5" s="639" t="s">
        <v>58</v>
      </c>
      <c r="K5" s="641"/>
      <c r="L5" s="640"/>
      <c r="M5" s="534" t="s">
        <v>59</v>
      </c>
      <c r="N5" s="534" t="s">
        <v>60</v>
      </c>
    </row>
    <row r="6" spans="1:16" ht="12.75">
      <c r="A6" s="331"/>
      <c r="B6" s="489"/>
      <c r="C6" s="357" t="s">
        <v>61</v>
      </c>
      <c r="D6" s="517" t="s">
        <v>237</v>
      </c>
      <c r="E6" s="517" t="s">
        <v>375</v>
      </c>
      <c r="F6" s="517" t="s">
        <v>62</v>
      </c>
      <c r="G6" s="534" t="s">
        <v>3</v>
      </c>
      <c r="H6" s="286" t="s">
        <v>63</v>
      </c>
      <c r="I6" s="533" t="s">
        <v>64</v>
      </c>
      <c r="J6" s="533" t="s">
        <v>63</v>
      </c>
      <c r="K6" s="533" t="s">
        <v>64</v>
      </c>
      <c r="L6" s="533" t="s">
        <v>64</v>
      </c>
      <c r="M6" s="534" t="s">
        <v>65</v>
      </c>
      <c r="N6" s="543" t="s">
        <v>376</v>
      </c>
      <c r="P6" s="518"/>
    </row>
    <row r="7" spans="1:16" ht="12.75">
      <c r="A7" s="332"/>
      <c r="B7" s="490"/>
      <c r="C7" s="279" t="s">
        <v>66</v>
      </c>
      <c r="D7" s="288"/>
      <c r="E7" s="288"/>
      <c r="F7" s="288"/>
      <c r="G7" s="535"/>
      <c r="H7" s="288"/>
      <c r="I7" s="535" t="s">
        <v>67</v>
      </c>
      <c r="J7" s="535"/>
      <c r="K7" s="541" t="s">
        <v>377</v>
      </c>
      <c r="L7" s="535" t="s">
        <v>66</v>
      </c>
      <c r="M7" s="539"/>
      <c r="N7" s="539"/>
      <c r="P7" s="297"/>
    </row>
    <row r="8" spans="1:16" ht="13.5" customHeight="1">
      <c r="A8" s="115">
        <v>1</v>
      </c>
      <c r="B8" s="116" t="s">
        <v>7</v>
      </c>
      <c r="C8" s="116">
        <v>138823</v>
      </c>
      <c r="D8" s="116">
        <v>89266</v>
      </c>
      <c r="E8" s="116">
        <v>36371</v>
      </c>
      <c r="F8" s="116">
        <v>22521</v>
      </c>
      <c r="G8" s="190">
        <f>SUM(D8:F8)</f>
        <v>148158</v>
      </c>
      <c r="H8" s="116">
        <v>85181</v>
      </c>
      <c r="I8" s="408">
        <f>(H8/M8)*100</f>
        <v>40.62273472969364</v>
      </c>
      <c r="J8" s="190">
        <f>'TABLE-6'!D9</f>
        <v>39601</v>
      </c>
      <c r="K8" s="408">
        <f>(J8/M8)*100</f>
        <v>18.885677768875663</v>
      </c>
      <c r="L8" s="408">
        <f>(J8/G8)*100</f>
        <v>26.728897528314366</v>
      </c>
      <c r="M8" s="190">
        <f>'TABLE-3'!G7</f>
        <v>209688</v>
      </c>
      <c r="N8" s="408">
        <f aca="true" t="shared" si="0" ref="N8:N50">(G8/M8)*100</f>
        <v>70.65640379993133</v>
      </c>
      <c r="O8" s="118"/>
      <c r="P8" s="127"/>
    </row>
    <row r="9" spans="1:16" ht="13.5" customHeight="1">
      <c r="A9" s="115">
        <v>2</v>
      </c>
      <c r="B9" s="116" t="s">
        <v>8</v>
      </c>
      <c r="C9" s="116">
        <v>1482</v>
      </c>
      <c r="D9" s="116">
        <v>1416</v>
      </c>
      <c r="E9" s="116">
        <v>874</v>
      </c>
      <c r="F9" s="116">
        <v>1435</v>
      </c>
      <c r="G9" s="190">
        <f aca="true" t="shared" si="1" ref="G9:G26">SUM(D9:F9)</f>
        <v>3725</v>
      </c>
      <c r="H9" s="116">
        <v>0</v>
      </c>
      <c r="I9" s="408">
        <f aca="true" t="shared" si="2" ref="I9:I26">(H9/M9)*100</f>
        <v>0</v>
      </c>
      <c r="J9" s="190">
        <f>'TABLE-6'!D10</f>
        <v>165</v>
      </c>
      <c r="K9" s="408">
        <f aca="true" t="shared" si="3" ref="K9:K26">(J9/M9)*100</f>
        <v>1.7808958445763627</v>
      </c>
      <c r="L9" s="408">
        <f aca="true" t="shared" si="4" ref="L9:L26">(J9/G9)*100</f>
        <v>4.429530201342282</v>
      </c>
      <c r="M9" s="190">
        <f>'TABLE-3'!G8</f>
        <v>9265</v>
      </c>
      <c r="N9" s="408">
        <f t="shared" si="0"/>
        <v>40.20507285483001</v>
      </c>
      <c r="O9" s="118"/>
      <c r="P9" s="127"/>
    </row>
    <row r="10" spans="1:16" ht="13.5" customHeight="1">
      <c r="A10" s="115">
        <v>3</v>
      </c>
      <c r="B10" s="116" t="s">
        <v>9</v>
      </c>
      <c r="C10" s="116">
        <v>47321</v>
      </c>
      <c r="D10" s="116">
        <v>36074</v>
      </c>
      <c r="E10" s="116">
        <v>49130</v>
      </c>
      <c r="F10" s="116">
        <v>38254</v>
      </c>
      <c r="G10" s="190">
        <f t="shared" si="1"/>
        <v>123458</v>
      </c>
      <c r="H10" s="116">
        <v>28428</v>
      </c>
      <c r="I10" s="408">
        <f t="shared" si="2"/>
        <v>17.655388284394096</v>
      </c>
      <c r="J10" s="190">
        <f>'TABLE-6'!D11</f>
        <v>20125</v>
      </c>
      <c r="K10" s="408">
        <f t="shared" si="3"/>
        <v>12.498757887414916</v>
      </c>
      <c r="L10" s="408">
        <f t="shared" si="4"/>
        <v>16.301090249315557</v>
      </c>
      <c r="M10" s="190">
        <f>'TABLE-3'!G9</f>
        <v>161016</v>
      </c>
      <c r="N10" s="408">
        <f t="shared" si="0"/>
        <v>76.6743677646942</v>
      </c>
      <c r="O10" s="118"/>
      <c r="P10" s="127"/>
    </row>
    <row r="11" spans="1:16" ht="13.5" customHeight="1">
      <c r="A11" s="115">
        <v>4</v>
      </c>
      <c r="B11" s="116" t="s">
        <v>10</v>
      </c>
      <c r="C11" s="116">
        <v>264189</v>
      </c>
      <c r="D11" s="116">
        <v>270790</v>
      </c>
      <c r="E11" s="116">
        <v>62256</v>
      </c>
      <c r="F11" s="116">
        <v>58403</v>
      </c>
      <c r="G11" s="190">
        <f t="shared" si="1"/>
        <v>391449</v>
      </c>
      <c r="H11" s="116">
        <v>257499</v>
      </c>
      <c r="I11" s="408">
        <f t="shared" si="2"/>
        <v>50.13316979148414</v>
      </c>
      <c r="J11" s="190">
        <f>'TABLE-6'!D12</f>
        <v>67614</v>
      </c>
      <c r="K11" s="408">
        <f t="shared" si="3"/>
        <v>13.163950703814029</v>
      </c>
      <c r="L11" s="408">
        <f t="shared" si="4"/>
        <v>17.272748174091642</v>
      </c>
      <c r="M11" s="190">
        <f>'TABLE-3'!G10</f>
        <v>513630</v>
      </c>
      <c r="N11" s="408">
        <f t="shared" si="0"/>
        <v>76.21225395712867</v>
      </c>
      <c r="O11" s="118"/>
      <c r="P11" s="127"/>
    </row>
    <row r="12" spans="1:16" ht="13.5" customHeight="1">
      <c r="A12" s="115">
        <v>5</v>
      </c>
      <c r="B12" s="116" t="s">
        <v>11</v>
      </c>
      <c r="C12" s="116">
        <v>51971</v>
      </c>
      <c r="D12" s="116">
        <v>32208</v>
      </c>
      <c r="E12" s="116">
        <v>11522</v>
      </c>
      <c r="F12" s="116">
        <v>17846</v>
      </c>
      <c r="G12" s="190">
        <f t="shared" si="1"/>
        <v>61576</v>
      </c>
      <c r="H12" s="116">
        <v>30212</v>
      </c>
      <c r="I12" s="408">
        <f t="shared" si="2"/>
        <v>38.979705058897906</v>
      </c>
      <c r="J12" s="190">
        <f>'TABLE-6'!D13</f>
        <v>17408</v>
      </c>
      <c r="K12" s="408">
        <f t="shared" si="3"/>
        <v>22.459906847123488</v>
      </c>
      <c r="L12" s="408">
        <f t="shared" si="4"/>
        <v>28.270754839547873</v>
      </c>
      <c r="M12" s="190">
        <f>'TABLE-3'!G11</f>
        <v>77507</v>
      </c>
      <c r="N12" s="408">
        <f t="shared" si="0"/>
        <v>79.44572748267899</v>
      </c>
      <c r="O12" s="118"/>
      <c r="P12" s="127"/>
    </row>
    <row r="13" spans="1:16" ht="13.5" customHeight="1">
      <c r="A13" s="115">
        <v>6</v>
      </c>
      <c r="B13" s="116" t="s">
        <v>12</v>
      </c>
      <c r="C13" s="116">
        <v>16295</v>
      </c>
      <c r="D13" s="116">
        <v>10892</v>
      </c>
      <c r="E13" s="116">
        <v>10133</v>
      </c>
      <c r="F13" s="116">
        <v>14411</v>
      </c>
      <c r="G13" s="190">
        <f t="shared" si="1"/>
        <v>35436</v>
      </c>
      <c r="H13" s="116">
        <v>10063</v>
      </c>
      <c r="I13" s="408">
        <f t="shared" si="2"/>
        <v>13.461306935990905</v>
      </c>
      <c r="J13" s="190">
        <f>'TABLE-6'!D14</f>
        <v>5909</v>
      </c>
      <c r="K13" s="408">
        <f t="shared" si="3"/>
        <v>7.904487994114106</v>
      </c>
      <c r="L13" s="408">
        <f t="shared" si="4"/>
        <v>16.67513263348008</v>
      </c>
      <c r="M13" s="190">
        <f>'TABLE-3'!G12</f>
        <v>74755</v>
      </c>
      <c r="N13" s="408">
        <f t="shared" si="0"/>
        <v>47.40284930773861</v>
      </c>
      <c r="O13" s="118"/>
      <c r="P13" s="127"/>
    </row>
    <row r="14" spans="1:16" s="103" customFormat="1" ht="13.5" customHeight="1">
      <c r="A14" s="54">
        <v>7</v>
      </c>
      <c r="B14" s="57" t="s">
        <v>13</v>
      </c>
      <c r="C14" s="57">
        <v>285688</v>
      </c>
      <c r="D14" s="57">
        <v>225974</v>
      </c>
      <c r="E14" s="57">
        <v>57358</v>
      </c>
      <c r="F14" s="57">
        <v>70529</v>
      </c>
      <c r="G14" s="190">
        <f t="shared" si="1"/>
        <v>353861</v>
      </c>
      <c r="H14" s="57">
        <v>184956</v>
      </c>
      <c r="I14" s="408">
        <f t="shared" si="2"/>
        <v>38.08907963129237</v>
      </c>
      <c r="J14" s="190">
        <f>'TABLE-6'!D15</f>
        <v>71825</v>
      </c>
      <c r="K14" s="408">
        <f t="shared" si="3"/>
        <v>14.79134574989497</v>
      </c>
      <c r="L14" s="408">
        <f t="shared" si="4"/>
        <v>20.29751795196419</v>
      </c>
      <c r="M14" s="190">
        <f>'TABLE-3'!G13</f>
        <v>485588</v>
      </c>
      <c r="N14" s="408">
        <f t="shared" si="0"/>
        <v>72.87268219148744</v>
      </c>
      <c r="O14" s="19"/>
      <c r="P14" s="22"/>
    </row>
    <row r="15" spans="1:16" s="103" customFormat="1" ht="13.5" customHeight="1">
      <c r="A15" s="54">
        <v>8</v>
      </c>
      <c r="B15" s="57" t="s">
        <v>162</v>
      </c>
      <c r="C15" s="57">
        <v>3121</v>
      </c>
      <c r="D15" s="57">
        <v>970</v>
      </c>
      <c r="E15" s="57">
        <v>2441</v>
      </c>
      <c r="F15" s="57">
        <v>3664</v>
      </c>
      <c r="G15" s="190">
        <f t="shared" si="1"/>
        <v>7075</v>
      </c>
      <c r="H15" s="57">
        <v>667</v>
      </c>
      <c r="I15" s="408">
        <f t="shared" si="2"/>
        <v>6.476985822489804</v>
      </c>
      <c r="J15" s="190">
        <f>'TABLE-6'!D16</f>
        <v>1229</v>
      </c>
      <c r="K15" s="408">
        <f t="shared" si="3"/>
        <v>11.93435618566712</v>
      </c>
      <c r="L15" s="408">
        <f t="shared" si="4"/>
        <v>17.37102473498233</v>
      </c>
      <c r="M15" s="190">
        <f>'TABLE-3'!G14</f>
        <v>10298</v>
      </c>
      <c r="N15" s="408">
        <f t="shared" si="0"/>
        <v>68.70266071081763</v>
      </c>
      <c r="O15" s="19"/>
      <c r="P15" s="22"/>
    </row>
    <row r="16" spans="1:16" ht="13.5" customHeight="1">
      <c r="A16" s="115">
        <v>9</v>
      </c>
      <c r="B16" s="116" t="s">
        <v>14</v>
      </c>
      <c r="C16" s="116">
        <v>13877</v>
      </c>
      <c r="D16" s="116">
        <v>21704</v>
      </c>
      <c r="E16" s="116">
        <v>19769</v>
      </c>
      <c r="F16" s="116">
        <v>11402</v>
      </c>
      <c r="G16" s="190">
        <f t="shared" si="1"/>
        <v>52875</v>
      </c>
      <c r="H16" s="116">
        <v>6469</v>
      </c>
      <c r="I16" s="408">
        <f t="shared" si="2"/>
        <v>5.248724127579128</v>
      </c>
      <c r="J16" s="190">
        <f>'TABLE-6'!D17</f>
        <v>3214</v>
      </c>
      <c r="K16" s="408">
        <f t="shared" si="3"/>
        <v>2.60772906879569</v>
      </c>
      <c r="L16" s="408">
        <f t="shared" si="4"/>
        <v>6.078486997635934</v>
      </c>
      <c r="M16" s="190">
        <f>'TABLE-3'!G15</f>
        <v>123249</v>
      </c>
      <c r="N16" s="408">
        <f t="shared" si="0"/>
        <v>42.900956600053554</v>
      </c>
      <c r="O16" s="118"/>
      <c r="P16" s="127"/>
    </row>
    <row r="17" spans="1:16" ht="13.5" customHeight="1">
      <c r="A17" s="115">
        <v>10</v>
      </c>
      <c r="B17" s="116" t="s">
        <v>15</v>
      </c>
      <c r="C17" s="116">
        <v>2889</v>
      </c>
      <c r="D17" s="116">
        <v>983</v>
      </c>
      <c r="E17" s="116">
        <v>1238</v>
      </c>
      <c r="F17" s="116">
        <v>2338</v>
      </c>
      <c r="G17" s="190">
        <f t="shared" si="1"/>
        <v>4559</v>
      </c>
      <c r="H17" s="116">
        <v>875</v>
      </c>
      <c r="I17" s="408">
        <f t="shared" si="2"/>
        <v>12.577260313353458</v>
      </c>
      <c r="J17" s="190">
        <f>'TABLE-6'!D18</f>
        <v>837</v>
      </c>
      <c r="K17" s="408">
        <f t="shared" si="3"/>
        <v>12.03104786545925</v>
      </c>
      <c r="L17" s="408">
        <f t="shared" si="4"/>
        <v>18.359289317832857</v>
      </c>
      <c r="M17" s="190">
        <f>'TABLE-3'!G16</f>
        <v>6957</v>
      </c>
      <c r="N17" s="408">
        <f t="shared" si="0"/>
        <v>65.53111973551819</v>
      </c>
      <c r="O17" s="118"/>
      <c r="P17" s="127"/>
    </row>
    <row r="18" spans="1:16" ht="13.5" customHeight="1">
      <c r="A18" s="115">
        <v>11</v>
      </c>
      <c r="B18" s="116" t="s">
        <v>16</v>
      </c>
      <c r="C18" s="116">
        <v>2446</v>
      </c>
      <c r="D18" s="116">
        <v>449</v>
      </c>
      <c r="E18" s="116">
        <v>1270</v>
      </c>
      <c r="F18" s="116">
        <v>2067</v>
      </c>
      <c r="G18" s="190">
        <f t="shared" si="1"/>
        <v>3786</v>
      </c>
      <c r="H18" s="116">
        <v>371</v>
      </c>
      <c r="I18" s="408">
        <f t="shared" si="2"/>
        <v>3.037249283667622</v>
      </c>
      <c r="J18" s="190">
        <f>'TABLE-6'!D19</f>
        <v>704</v>
      </c>
      <c r="K18" s="408">
        <f t="shared" si="3"/>
        <v>5.763405648792468</v>
      </c>
      <c r="L18" s="408">
        <f t="shared" si="4"/>
        <v>18.594823032223985</v>
      </c>
      <c r="M18" s="190">
        <f>'TABLE-3'!G17</f>
        <v>12215</v>
      </c>
      <c r="N18" s="408">
        <f t="shared" si="0"/>
        <v>30.994678673761765</v>
      </c>
      <c r="O18" s="118"/>
      <c r="P18" s="127"/>
    </row>
    <row r="19" spans="1:16" ht="13.5" customHeight="1">
      <c r="A19" s="115">
        <v>12</v>
      </c>
      <c r="B19" s="116" t="s">
        <v>281</v>
      </c>
      <c r="C19" s="116">
        <v>24525</v>
      </c>
      <c r="D19" s="116">
        <v>22759</v>
      </c>
      <c r="E19" s="116">
        <v>13926</v>
      </c>
      <c r="F19" s="116">
        <v>14767</v>
      </c>
      <c r="G19" s="190">
        <f t="shared" si="1"/>
        <v>51452</v>
      </c>
      <c r="H19" s="116">
        <v>14338</v>
      </c>
      <c r="I19" s="408">
        <f t="shared" si="2"/>
        <v>14.348905167927626</v>
      </c>
      <c r="J19" s="190">
        <f>'TABLE-6'!D20</f>
        <v>8029</v>
      </c>
      <c r="K19" s="408">
        <f t="shared" si="3"/>
        <v>8.03510668107762</v>
      </c>
      <c r="L19" s="408">
        <f t="shared" si="4"/>
        <v>15.604835574904765</v>
      </c>
      <c r="M19" s="190">
        <f>'TABLE-3'!G18</f>
        <v>99924</v>
      </c>
      <c r="N19" s="408">
        <f t="shared" si="0"/>
        <v>51.49113326127858</v>
      </c>
      <c r="O19" s="118"/>
      <c r="P19" s="127"/>
    </row>
    <row r="20" spans="1:16" ht="13.5" customHeight="1">
      <c r="A20" s="115">
        <v>13</v>
      </c>
      <c r="B20" s="116" t="s">
        <v>164</v>
      </c>
      <c r="C20" s="116">
        <v>9103</v>
      </c>
      <c r="D20" s="116">
        <v>4545</v>
      </c>
      <c r="E20" s="116">
        <v>11823</v>
      </c>
      <c r="F20" s="116">
        <v>2611</v>
      </c>
      <c r="G20" s="190">
        <f t="shared" si="1"/>
        <v>18979</v>
      </c>
      <c r="H20" s="116">
        <v>3838</v>
      </c>
      <c r="I20" s="408">
        <f t="shared" si="2"/>
        <v>12.795465910985165</v>
      </c>
      <c r="J20" s="190">
        <f>'TABLE-6'!D21</f>
        <v>2250</v>
      </c>
      <c r="K20" s="408">
        <f t="shared" si="3"/>
        <v>7.501250208368061</v>
      </c>
      <c r="L20" s="408">
        <f t="shared" si="4"/>
        <v>11.855208388218557</v>
      </c>
      <c r="M20" s="190">
        <f>'TABLE-3'!G19</f>
        <v>29995</v>
      </c>
      <c r="N20" s="408">
        <f t="shared" si="0"/>
        <v>63.273878979829966</v>
      </c>
      <c r="O20" s="118"/>
      <c r="P20" s="127"/>
    </row>
    <row r="21" spans="1:16" ht="13.5" customHeight="1">
      <c r="A21" s="115">
        <v>14</v>
      </c>
      <c r="B21" s="116" t="s">
        <v>77</v>
      </c>
      <c r="C21" s="116">
        <v>123831</v>
      </c>
      <c r="D21" s="116">
        <v>110783</v>
      </c>
      <c r="E21" s="116">
        <v>41583</v>
      </c>
      <c r="F21" s="116">
        <v>47767</v>
      </c>
      <c r="G21" s="190">
        <f t="shared" si="1"/>
        <v>200133</v>
      </c>
      <c r="H21" s="116">
        <v>92564</v>
      </c>
      <c r="I21" s="408">
        <f t="shared" si="2"/>
        <v>27.24233327447172</v>
      </c>
      <c r="J21" s="190">
        <f>'TABLE-6'!D22</f>
        <v>89974</v>
      </c>
      <c r="K21" s="408">
        <f t="shared" si="3"/>
        <v>26.480075342868915</v>
      </c>
      <c r="L21" s="408">
        <f t="shared" si="4"/>
        <v>44.95710352615511</v>
      </c>
      <c r="M21" s="190">
        <f>'TABLE-3'!G20</f>
        <v>339780</v>
      </c>
      <c r="N21" s="408">
        <f t="shared" si="0"/>
        <v>58.90075931485078</v>
      </c>
      <c r="O21" s="118"/>
      <c r="P21" s="127"/>
    </row>
    <row r="22" spans="1:16" ht="13.5" customHeight="1">
      <c r="A22" s="115">
        <v>15</v>
      </c>
      <c r="B22" s="116" t="s">
        <v>105</v>
      </c>
      <c r="C22" s="116">
        <v>13209</v>
      </c>
      <c r="D22" s="116">
        <v>4231</v>
      </c>
      <c r="E22" s="116">
        <v>5452</v>
      </c>
      <c r="F22" s="116">
        <v>14227</v>
      </c>
      <c r="G22" s="190">
        <f t="shared" si="1"/>
        <v>23910</v>
      </c>
      <c r="H22" s="116">
        <v>3952</v>
      </c>
      <c r="I22" s="408">
        <f t="shared" si="2"/>
        <v>9.795513694385921</v>
      </c>
      <c r="J22" s="190">
        <f>'TABLE-6'!D23</f>
        <v>5304</v>
      </c>
      <c r="K22" s="408">
        <f t="shared" si="3"/>
        <v>13.146610484570578</v>
      </c>
      <c r="L22" s="408">
        <f t="shared" si="4"/>
        <v>22.1831869510665</v>
      </c>
      <c r="M22" s="190">
        <f>'TABLE-3'!G21</f>
        <v>40345</v>
      </c>
      <c r="N22" s="408">
        <f t="shared" si="0"/>
        <v>59.263849299789314</v>
      </c>
      <c r="O22" s="118"/>
      <c r="P22" s="127"/>
    </row>
    <row r="23" spans="1:16" s="103" customFormat="1" ht="13.5" customHeight="1">
      <c r="A23" s="54">
        <v>16</v>
      </c>
      <c r="B23" s="57" t="s">
        <v>20</v>
      </c>
      <c r="C23" s="57">
        <v>64190</v>
      </c>
      <c r="D23" s="57">
        <v>90632</v>
      </c>
      <c r="E23" s="57">
        <v>29088</v>
      </c>
      <c r="F23" s="57">
        <v>53148</v>
      </c>
      <c r="G23" s="190">
        <f t="shared" si="1"/>
        <v>172868</v>
      </c>
      <c r="H23" s="57">
        <v>66469</v>
      </c>
      <c r="I23" s="408">
        <f t="shared" si="2"/>
        <v>30.30671937479767</v>
      </c>
      <c r="J23" s="190">
        <f>'TABLE-6'!D24</f>
        <v>29891</v>
      </c>
      <c r="K23" s="408">
        <f t="shared" si="3"/>
        <v>13.628881867217457</v>
      </c>
      <c r="L23" s="408">
        <f t="shared" si="4"/>
        <v>17.291227988985817</v>
      </c>
      <c r="M23" s="190">
        <f>'TABLE-3'!G22</f>
        <v>219321</v>
      </c>
      <c r="N23" s="408">
        <f t="shared" si="0"/>
        <v>78.8196296752249</v>
      </c>
      <c r="O23" s="19"/>
      <c r="P23" s="22"/>
    </row>
    <row r="24" spans="1:16" ht="13.5" customHeight="1">
      <c r="A24" s="115">
        <v>17</v>
      </c>
      <c r="B24" s="116" t="s">
        <v>21</v>
      </c>
      <c r="C24" s="116">
        <v>112585</v>
      </c>
      <c r="D24" s="116">
        <v>97999</v>
      </c>
      <c r="E24" s="116">
        <v>48288</v>
      </c>
      <c r="F24" s="116">
        <v>29260</v>
      </c>
      <c r="G24" s="190">
        <f t="shared" si="1"/>
        <v>175547</v>
      </c>
      <c r="H24" s="116">
        <v>86143</v>
      </c>
      <c r="I24" s="408">
        <f t="shared" si="2"/>
        <v>36.342503723141704</v>
      </c>
      <c r="J24" s="190">
        <f>'TABLE-6'!D25</f>
        <v>32294</v>
      </c>
      <c r="K24" s="408">
        <f t="shared" si="3"/>
        <v>13.62437824588345</v>
      </c>
      <c r="L24" s="408">
        <f t="shared" si="4"/>
        <v>18.396212979999657</v>
      </c>
      <c r="M24" s="190">
        <f>'TABLE-3'!G23</f>
        <v>237031</v>
      </c>
      <c r="N24" s="408">
        <f t="shared" si="0"/>
        <v>74.06077686041066</v>
      </c>
      <c r="O24" s="118"/>
      <c r="P24" s="127"/>
    </row>
    <row r="25" spans="1:16" ht="13.5" customHeight="1">
      <c r="A25" s="115">
        <v>18</v>
      </c>
      <c r="B25" s="116" t="s">
        <v>19</v>
      </c>
      <c r="C25" s="116">
        <v>1195</v>
      </c>
      <c r="D25" s="116">
        <v>1233</v>
      </c>
      <c r="E25" s="116">
        <v>564</v>
      </c>
      <c r="F25" s="116">
        <v>1450</v>
      </c>
      <c r="G25" s="190">
        <f t="shared" si="1"/>
        <v>3247</v>
      </c>
      <c r="H25" s="116">
        <v>971</v>
      </c>
      <c r="I25" s="408">
        <f t="shared" si="2"/>
        <v>10.902762182798114</v>
      </c>
      <c r="J25" s="190">
        <f>'TABLE-6'!D26</f>
        <v>212</v>
      </c>
      <c r="K25" s="408">
        <f t="shared" si="3"/>
        <v>2.3804176959353245</v>
      </c>
      <c r="L25" s="408">
        <f t="shared" si="4"/>
        <v>6.529103788112104</v>
      </c>
      <c r="M25" s="190">
        <f>'TABLE-3'!G24</f>
        <v>8906</v>
      </c>
      <c r="N25" s="408">
        <f t="shared" si="0"/>
        <v>36.458567258028296</v>
      </c>
      <c r="O25" s="118"/>
      <c r="P25" s="127"/>
    </row>
    <row r="26" spans="1:16" ht="13.5" customHeight="1">
      <c r="A26" s="115">
        <v>19</v>
      </c>
      <c r="B26" s="116" t="s">
        <v>124</v>
      </c>
      <c r="C26" s="116">
        <v>3124</v>
      </c>
      <c r="D26" s="116">
        <v>1547</v>
      </c>
      <c r="E26" s="116">
        <v>3383</v>
      </c>
      <c r="F26" s="116">
        <v>4255</v>
      </c>
      <c r="G26" s="190">
        <f t="shared" si="1"/>
        <v>9185</v>
      </c>
      <c r="H26" s="116">
        <v>1384</v>
      </c>
      <c r="I26" s="408">
        <f t="shared" si="2"/>
        <v>10.743673342648657</v>
      </c>
      <c r="J26" s="190">
        <f>'TABLE-6'!D27</f>
        <v>1560</v>
      </c>
      <c r="K26" s="408">
        <f t="shared" si="3"/>
        <v>12.109920819748487</v>
      </c>
      <c r="L26" s="408">
        <f t="shared" si="4"/>
        <v>16.98421339139902</v>
      </c>
      <c r="M26" s="190">
        <f>'TABLE-3'!G25</f>
        <v>12882</v>
      </c>
      <c r="N26" s="408">
        <f t="shared" si="0"/>
        <v>71.30104021114734</v>
      </c>
      <c r="O26" s="118"/>
      <c r="P26" s="127"/>
    </row>
    <row r="27" spans="1:16" ht="13.5" customHeight="1">
      <c r="A27" s="115"/>
      <c r="B27" s="121" t="s">
        <v>224</v>
      </c>
      <c r="C27" s="121">
        <f aca="true" t="shared" si="5" ref="C27:J27">SUM(C8:C26)</f>
        <v>1179864</v>
      </c>
      <c r="D27" s="121">
        <f t="shared" si="5"/>
        <v>1024455</v>
      </c>
      <c r="E27" s="121">
        <f t="shared" si="5"/>
        <v>406469</v>
      </c>
      <c r="F27" s="121">
        <f t="shared" si="5"/>
        <v>410355</v>
      </c>
      <c r="G27" s="249">
        <f t="shared" si="5"/>
        <v>1841279</v>
      </c>
      <c r="H27" s="121">
        <f t="shared" si="5"/>
        <v>874380</v>
      </c>
      <c r="I27" s="409">
        <f aca="true" t="shared" si="6" ref="I27:I50">(H27/M27)*100</f>
        <v>32.7194920429644</v>
      </c>
      <c r="J27" s="249">
        <f t="shared" si="5"/>
        <v>398145</v>
      </c>
      <c r="K27" s="409">
        <f>(J27/M27)*100</f>
        <v>14.898673528038223</v>
      </c>
      <c r="L27" s="409">
        <f aca="true" t="shared" si="7" ref="L27:L50">(J27/G27)*100</f>
        <v>21.62328468417877</v>
      </c>
      <c r="M27" s="249">
        <f>SUM(M8:M26)</f>
        <v>2672352</v>
      </c>
      <c r="N27" s="409">
        <f t="shared" si="0"/>
        <v>68.90106542850643</v>
      </c>
      <c r="O27" s="118"/>
      <c r="P27" s="127"/>
    </row>
    <row r="28" spans="1:16" ht="13.5" customHeight="1">
      <c r="A28" s="54">
        <v>20</v>
      </c>
      <c r="B28" s="116" t="s">
        <v>23</v>
      </c>
      <c r="C28" s="116">
        <v>0</v>
      </c>
      <c r="D28" s="116">
        <v>343</v>
      </c>
      <c r="E28" s="116">
        <v>1131</v>
      </c>
      <c r="F28" s="116">
        <v>1116</v>
      </c>
      <c r="G28" s="190">
        <f aca="true" t="shared" si="8" ref="G28:G48">SUM(D28:F28)</f>
        <v>2590</v>
      </c>
      <c r="H28" s="116">
        <v>343</v>
      </c>
      <c r="I28" s="408">
        <f t="shared" si="6"/>
        <v>1.9272911164803057</v>
      </c>
      <c r="J28" s="190">
        <f>'TABLE-6'!D29</f>
        <v>35</v>
      </c>
      <c r="K28" s="408">
        <f aca="true" t="shared" si="9" ref="K28:K48">(J28/M28)*100</f>
        <v>0.19666235882452096</v>
      </c>
      <c r="L28" s="408">
        <f t="shared" si="7"/>
        <v>1.3513513513513513</v>
      </c>
      <c r="M28" s="190">
        <f>'TABLE-3'!G27</f>
        <v>17797</v>
      </c>
      <c r="N28" s="408">
        <f t="shared" si="0"/>
        <v>14.553014553014554</v>
      </c>
      <c r="O28" s="118"/>
      <c r="P28" s="127"/>
    </row>
    <row r="29" spans="1:16" ht="13.5" customHeight="1">
      <c r="A29" s="54">
        <v>21</v>
      </c>
      <c r="B29" s="116" t="s">
        <v>269</v>
      </c>
      <c r="C29" s="116">
        <v>516</v>
      </c>
      <c r="D29" s="116">
        <v>10</v>
      </c>
      <c r="E29" s="116">
        <v>440</v>
      </c>
      <c r="F29" s="116">
        <v>2369</v>
      </c>
      <c r="G29" s="190">
        <f t="shared" si="8"/>
        <v>2819</v>
      </c>
      <c r="H29" s="116">
        <v>10</v>
      </c>
      <c r="I29" s="408">
        <f t="shared" si="6"/>
        <v>0.025645628702587644</v>
      </c>
      <c r="J29" s="190">
        <f>'TABLE-6'!D30</f>
        <v>0</v>
      </c>
      <c r="K29" s="408">
        <f t="shared" si="9"/>
        <v>0</v>
      </c>
      <c r="L29" s="408">
        <f t="shared" si="7"/>
        <v>0</v>
      </c>
      <c r="M29" s="190">
        <f>'TABLE-3'!G28</f>
        <v>38993</v>
      </c>
      <c r="N29" s="408">
        <f t="shared" si="0"/>
        <v>7.2295027312594575</v>
      </c>
      <c r="O29" s="118"/>
      <c r="P29" s="127"/>
    </row>
    <row r="30" spans="1:16" ht="13.5" customHeight="1">
      <c r="A30" s="54">
        <v>22</v>
      </c>
      <c r="B30" s="116" t="s">
        <v>169</v>
      </c>
      <c r="C30" s="116">
        <v>2793</v>
      </c>
      <c r="D30" s="116">
        <v>0</v>
      </c>
      <c r="E30" s="116">
        <v>1017</v>
      </c>
      <c r="F30" s="116">
        <v>5109</v>
      </c>
      <c r="G30" s="190">
        <f t="shared" si="8"/>
        <v>6126</v>
      </c>
      <c r="H30" s="116">
        <v>0</v>
      </c>
      <c r="I30" s="408">
        <f t="shared" si="6"/>
        <v>0</v>
      </c>
      <c r="J30" s="190">
        <f>'TABLE-6'!D31</f>
        <v>565</v>
      </c>
      <c r="K30" s="408">
        <f t="shared" si="9"/>
        <v>1.9251737767479897</v>
      </c>
      <c r="L30" s="408">
        <f t="shared" si="7"/>
        <v>9.222984002611819</v>
      </c>
      <c r="M30" s="190">
        <f>'TABLE-3'!G29</f>
        <v>29348</v>
      </c>
      <c r="N30" s="408">
        <f t="shared" si="0"/>
        <v>20.87365408204988</v>
      </c>
      <c r="O30" s="118"/>
      <c r="P30" s="127"/>
    </row>
    <row r="31" spans="1:16" ht="13.5" customHeight="1">
      <c r="A31" s="54">
        <v>23</v>
      </c>
      <c r="B31" s="116" t="s">
        <v>22</v>
      </c>
      <c r="C31" s="116">
        <v>544</v>
      </c>
      <c r="D31" s="116">
        <v>16</v>
      </c>
      <c r="E31" s="116">
        <v>3856</v>
      </c>
      <c r="F31" s="116">
        <v>1698</v>
      </c>
      <c r="G31" s="190">
        <f t="shared" si="8"/>
        <v>5570</v>
      </c>
      <c r="H31" s="116">
        <v>8</v>
      </c>
      <c r="I31" s="408">
        <f t="shared" si="6"/>
        <v>0.009149967975112087</v>
      </c>
      <c r="J31" s="190">
        <f>'TABLE-6'!D32</f>
        <v>0</v>
      </c>
      <c r="K31" s="408">
        <f t="shared" si="9"/>
        <v>0</v>
      </c>
      <c r="L31" s="408">
        <f t="shared" si="7"/>
        <v>0</v>
      </c>
      <c r="M31" s="190">
        <f>'TABLE-3'!G30</f>
        <v>87432</v>
      </c>
      <c r="N31" s="408">
        <f t="shared" si="0"/>
        <v>6.370665202671791</v>
      </c>
      <c r="O31" s="118"/>
      <c r="P31" s="127"/>
    </row>
    <row r="32" spans="1:16" s="103" customFormat="1" ht="13.5" customHeight="1">
      <c r="A32" s="54">
        <v>24</v>
      </c>
      <c r="B32" s="57" t="s">
        <v>141</v>
      </c>
      <c r="C32" s="57">
        <v>1640</v>
      </c>
      <c r="D32" s="57">
        <v>627</v>
      </c>
      <c r="E32" s="57">
        <v>2337</v>
      </c>
      <c r="F32" s="57">
        <v>2316</v>
      </c>
      <c r="G32" s="190">
        <f t="shared" si="8"/>
        <v>5280</v>
      </c>
      <c r="H32" s="57">
        <v>627</v>
      </c>
      <c r="I32" s="408">
        <f t="shared" si="6"/>
        <v>2.4183283835383964</v>
      </c>
      <c r="J32" s="190">
        <f>'TABLE-6'!D33</f>
        <v>242</v>
      </c>
      <c r="K32" s="408">
        <f t="shared" si="9"/>
        <v>0.9333899024183283</v>
      </c>
      <c r="L32" s="408">
        <f t="shared" si="7"/>
        <v>4.583333333333333</v>
      </c>
      <c r="M32" s="190">
        <f>'TABLE-3'!G31</f>
        <v>25927</v>
      </c>
      <c r="N32" s="408">
        <f t="shared" si="0"/>
        <v>20.364870598218072</v>
      </c>
      <c r="O32" s="19"/>
      <c r="P32" s="22"/>
    </row>
    <row r="33" spans="1:16" ht="13.5" customHeight="1">
      <c r="A33" s="54">
        <v>25</v>
      </c>
      <c r="B33" s="116" t="s">
        <v>18</v>
      </c>
      <c r="C33" s="116">
        <v>566826</v>
      </c>
      <c r="D33" s="116">
        <v>455372</v>
      </c>
      <c r="E33" s="116">
        <v>149632</v>
      </c>
      <c r="F33" s="116">
        <v>277539</v>
      </c>
      <c r="G33" s="190">
        <f t="shared" si="8"/>
        <v>882543</v>
      </c>
      <c r="H33" s="116">
        <v>443034</v>
      </c>
      <c r="I33" s="408">
        <f t="shared" si="6"/>
        <v>24.135624171252807</v>
      </c>
      <c r="J33" s="190">
        <f>'TABLE-6'!D34</f>
        <v>249940</v>
      </c>
      <c r="K33" s="408">
        <f t="shared" si="9"/>
        <v>13.616241429242287</v>
      </c>
      <c r="L33" s="408">
        <f t="shared" si="7"/>
        <v>28.320433112041</v>
      </c>
      <c r="M33" s="190">
        <f>'TABLE-3'!G32</f>
        <v>1835602</v>
      </c>
      <c r="N33" s="408">
        <f t="shared" si="0"/>
        <v>48.07921324993109</v>
      </c>
      <c r="O33" s="118"/>
      <c r="P33" s="127"/>
    </row>
    <row r="34" spans="1:16" ht="13.5" customHeight="1">
      <c r="A34" s="54">
        <v>26</v>
      </c>
      <c r="B34" s="116" t="s">
        <v>104</v>
      </c>
      <c r="C34" s="116">
        <v>385926</v>
      </c>
      <c r="D34" s="116">
        <v>264627</v>
      </c>
      <c r="E34" s="116">
        <v>196027</v>
      </c>
      <c r="F34" s="116">
        <v>107966</v>
      </c>
      <c r="G34" s="190">
        <f t="shared" si="8"/>
        <v>568620</v>
      </c>
      <c r="H34" s="116">
        <v>239787</v>
      </c>
      <c r="I34" s="408">
        <f t="shared" si="6"/>
        <v>30.450457543563786</v>
      </c>
      <c r="J34" s="190">
        <f>'TABLE-6'!D35</f>
        <v>197069</v>
      </c>
      <c r="K34" s="408">
        <f t="shared" si="9"/>
        <v>25.0257153959663</v>
      </c>
      <c r="L34" s="408">
        <f t="shared" si="7"/>
        <v>34.65741620062608</v>
      </c>
      <c r="M34" s="190">
        <f>'TABLE-3'!G33</f>
        <v>787466</v>
      </c>
      <c r="N34" s="408">
        <f t="shared" si="0"/>
        <v>72.20883187337613</v>
      </c>
      <c r="O34" s="118"/>
      <c r="P34" s="127"/>
    </row>
    <row r="35" spans="1:16" ht="13.5" customHeight="1">
      <c r="A35" s="115"/>
      <c r="B35" s="121" t="s">
        <v>226</v>
      </c>
      <c r="C35" s="121">
        <f aca="true" t="shared" si="10" ref="C35:J35">SUM(C28:C34)</f>
        <v>958245</v>
      </c>
      <c r="D35" s="121">
        <f t="shared" si="10"/>
        <v>720995</v>
      </c>
      <c r="E35" s="121">
        <f t="shared" si="10"/>
        <v>354440</v>
      </c>
      <c r="F35" s="121">
        <f t="shared" si="10"/>
        <v>398113</v>
      </c>
      <c r="G35" s="249">
        <f>D35+E35+F35</f>
        <v>1473548</v>
      </c>
      <c r="H35" s="121">
        <f t="shared" si="10"/>
        <v>683809</v>
      </c>
      <c r="I35" s="409">
        <f t="shared" si="6"/>
        <v>24.226510284085574</v>
      </c>
      <c r="J35" s="249">
        <f t="shared" si="10"/>
        <v>447851</v>
      </c>
      <c r="K35" s="409">
        <f>(J35/M35)*100</f>
        <v>15.866809090313245</v>
      </c>
      <c r="L35" s="409">
        <f t="shared" si="7"/>
        <v>30.392698439412904</v>
      </c>
      <c r="M35" s="249">
        <f>SUM(M28:M34)</f>
        <v>2822565</v>
      </c>
      <c r="N35" s="409">
        <f t="shared" si="0"/>
        <v>52.20598994177282</v>
      </c>
      <c r="O35" s="118"/>
      <c r="P35" s="127"/>
    </row>
    <row r="36" spans="1:16" ht="13.5" customHeight="1">
      <c r="A36" s="54">
        <v>27</v>
      </c>
      <c r="B36" s="116" t="s">
        <v>163</v>
      </c>
      <c r="C36" s="116">
        <v>3162</v>
      </c>
      <c r="D36" s="116">
        <v>1016</v>
      </c>
      <c r="E36" s="116">
        <v>2649</v>
      </c>
      <c r="F36" s="116">
        <v>1205</v>
      </c>
      <c r="G36" s="190">
        <f t="shared" si="8"/>
        <v>4870</v>
      </c>
      <c r="H36" s="116">
        <v>1011</v>
      </c>
      <c r="I36" s="408">
        <f t="shared" si="6"/>
        <v>9.331733431788813</v>
      </c>
      <c r="J36" s="190">
        <f>'TABLE-6'!D37</f>
        <v>590</v>
      </c>
      <c r="K36" s="408">
        <f t="shared" si="9"/>
        <v>5.445818718848071</v>
      </c>
      <c r="L36" s="408">
        <f t="shared" si="7"/>
        <v>12.114989733059549</v>
      </c>
      <c r="M36" s="190">
        <f>'TABLE-3'!G35</f>
        <v>10834</v>
      </c>
      <c r="N36" s="408">
        <f t="shared" si="0"/>
        <v>44.95107993354255</v>
      </c>
      <c r="O36" s="118"/>
      <c r="P36" s="127"/>
    </row>
    <row r="37" spans="1:16" s="103" customFormat="1" ht="13.5" customHeight="1">
      <c r="A37" s="54">
        <v>28</v>
      </c>
      <c r="B37" s="57" t="s">
        <v>231</v>
      </c>
      <c r="C37" s="57">
        <v>9366</v>
      </c>
      <c r="D37" s="57">
        <v>17696</v>
      </c>
      <c r="E37" s="57">
        <v>33994</v>
      </c>
      <c r="F37" s="57">
        <v>1245</v>
      </c>
      <c r="G37" s="190">
        <f t="shared" si="8"/>
        <v>52935</v>
      </c>
      <c r="H37" s="57">
        <v>8707</v>
      </c>
      <c r="I37" s="408">
        <f t="shared" si="6"/>
        <v>4.143408473358364</v>
      </c>
      <c r="J37" s="190">
        <f>'TABLE-6'!D38</f>
        <v>141</v>
      </c>
      <c r="K37" s="408">
        <f t="shared" si="9"/>
        <v>0.0670978057589904</v>
      </c>
      <c r="L37" s="408">
        <f t="shared" si="7"/>
        <v>0.2663644091810711</v>
      </c>
      <c r="M37" s="190">
        <f>'TABLE-3'!G36</f>
        <v>210141</v>
      </c>
      <c r="N37" s="408">
        <f t="shared" si="0"/>
        <v>25.19022941739118</v>
      </c>
      <c r="O37" s="19"/>
      <c r="P37" s="22"/>
    </row>
    <row r="38" spans="1:16" ht="13.5" customHeight="1">
      <c r="A38" s="54">
        <v>29</v>
      </c>
      <c r="B38" s="116" t="s">
        <v>218</v>
      </c>
      <c r="C38" s="116">
        <v>31778</v>
      </c>
      <c r="D38" s="116">
        <v>81772</v>
      </c>
      <c r="E38" s="116">
        <v>9141</v>
      </c>
      <c r="F38" s="116">
        <v>68674</v>
      </c>
      <c r="G38" s="190">
        <f t="shared" si="8"/>
        <v>159587</v>
      </c>
      <c r="H38" s="116">
        <v>39484</v>
      </c>
      <c r="I38" s="408">
        <f t="shared" si="6"/>
        <v>12.405000455557964</v>
      </c>
      <c r="J38" s="190">
        <f>'TABLE-6'!D39</f>
        <v>4770</v>
      </c>
      <c r="K38" s="408">
        <f t="shared" si="9"/>
        <v>1.4986286134386457</v>
      </c>
      <c r="L38" s="408">
        <f t="shared" si="7"/>
        <v>2.988965266594397</v>
      </c>
      <c r="M38" s="190">
        <f>'TABLE-3'!G37</f>
        <v>318291</v>
      </c>
      <c r="N38" s="408">
        <f t="shared" si="0"/>
        <v>50.138709545667325</v>
      </c>
      <c r="O38" s="118"/>
      <c r="P38" s="127"/>
    </row>
    <row r="39" spans="1:16" ht="13.5" customHeight="1">
      <c r="A39" s="54">
        <v>30</v>
      </c>
      <c r="B39" s="116" t="s">
        <v>236</v>
      </c>
      <c r="C39" s="116">
        <v>3998</v>
      </c>
      <c r="D39" s="116">
        <v>34704</v>
      </c>
      <c r="E39" s="116">
        <v>6571</v>
      </c>
      <c r="F39" s="116">
        <v>24478</v>
      </c>
      <c r="G39" s="190">
        <f t="shared" si="8"/>
        <v>65753</v>
      </c>
      <c r="H39" s="116">
        <v>21826</v>
      </c>
      <c r="I39" s="408">
        <f t="shared" si="6"/>
        <v>16.38305697965066</v>
      </c>
      <c r="J39" s="190">
        <f>'TABLE-6'!D40</f>
        <v>215</v>
      </c>
      <c r="K39" s="408">
        <f t="shared" si="9"/>
        <v>0.161383544883391</v>
      </c>
      <c r="L39" s="408">
        <f t="shared" si="7"/>
        <v>0.32698127842075647</v>
      </c>
      <c r="M39" s="190">
        <f>'TABLE-3'!G38</f>
        <v>133223</v>
      </c>
      <c r="N39" s="408">
        <f t="shared" si="0"/>
        <v>49.355591752174924</v>
      </c>
      <c r="O39" s="118"/>
      <c r="P39" s="127"/>
    </row>
    <row r="40" spans="1:16" s="103" customFormat="1" ht="13.5" customHeight="1">
      <c r="A40" s="54">
        <v>31</v>
      </c>
      <c r="B40" s="57" t="s">
        <v>219</v>
      </c>
      <c r="C40" s="57">
        <v>218</v>
      </c>
      <c r="D40" s="57">
        <v>1117</v>
      </c>
      <c r="E40" s="57">
        <v>0</v>
      </c>
      <c r="F40" s="57">
        <v>7896</v>
      </c>
      <c r="G40" s="190">
        <f t="shared" si="8"/>
        <v>9013</v>
      </c>
      <c r="H40" s="57">
        <v>1117</v>
      </c>
      <c r="I40" s="408">
        <f t="shared" si="6"/>
        <v>3.720976714747327</v>
      </c>
      <c r="J40" s="190">
        <f>'TABLE-6'!D41</f>
        <v>0</v>
      </c>
      <c r="K40" s="408">
        <f t="shared" si="9"/>
        <v>0</v>
      </c>
      <c r="L40" s="408">
        <f t="shared" si="7"/>
        <v>0</v>
      </c>
      <c r="M40" s="190">
        <f>'TABLE-3'!G39</f>
        <v>30019</v>
      </c>
      <c r="N40" s="408">
        <f t="shared" si="0"/>
        <v>30.024317931976412</v>
      </c>
      <c r="O40" s="19"/>
      <c r="P40" s="22"/>
    </row>
    <row r="41" spans="1:16" ht="13.5" customHeight="1">
      <c r="A41" s="54">
        <v>32</v>
      </c>
      <c r="B41" s="116" t="s">
        <v>220</v>
      </c>
      <c r="C41" s="116">
        <v>84</v>
      </c>
      <c r="D41" s="116">
        <v>363</v>
      </c>
      <c r="E41" s="116">
        <v>1116</v>
      </c>
      <c r="F41" s="116">
        <v>1866</v>
      </c>
      <c r="G41" s="190">
        <f t="shared" si="8"/>
        <v>3345</v>
      </c>
      <c r="H41" s="116">
        <v>48</v>
      </c>
      <c r="I41" s="408">
        <f t="shared" si="6"/>
        <v>1.1042097998619738</v>
      </c>
      <c r="J41" s="190">
        <f>'TABLE-6'!D42</f>
        <v>0</v>
      </c>
      <c r="K41" s="408">
        <f t="shared" si="9"/>
        <v>0</v>
      </c>
      <c r="L41" s="408">
        <f t="shared" si="7"/>
        <v>0</v>
      </c>
      <c r="M41" s="190">
        <f>'TABLE-3'!G40</f>
        <v>4347</v>
      </c>
      <c r="N41" s="408">
        <f t="shared" si="0"/>
        <v>76.9496204278813</v>
      </c>
      <c r="O41" s="118"/>
      <c r="P41" s="127"/>
    </row>
    <row r="42" spans="1:16" ht="13.5" customHeight="1">
      <c r="A42" s="110">
        <v>33</v>
      </c>
      <c r="B42" s="149" t="s">
        <v>363</v>
      </c>
      <c r="C42" s="116">
        <v>83</v>
      </c>
      <c r="D42" s="116">
        <v>2</v>
      </c>
      <c r="E42" s="116">
        <v>58</v>
      </c>
      <c r="F42" s="116">
        <v>610</v>
      </c>
      <c r="G42" s="190">
        <f t="shared" si="8"/>
        <v>670</v>
      </c>
      <c r="H42" s="116">
        <v>0</v>
      </c>
      <c r="I42" s="408">
        <f t="shared" si="6"/>
        <v>0</v>
      </c>
      <c r="J42" s="190">
        <f>'TABLE-6'!D43</f>
        <v>0</v>
      </c>
      <c r="K42" s="408">
        <f t="shared" si="9"/>
        <v>0</v>
      </c>
      <c r="L42" s="408">
        <f t="shared" si="7"/>
        <v>0</v>
      </c>
      <c r="M42" s="190">
        <f>'TABLE-3'!G41</f>
        <v>5006</v>
      </c>
      <c r="N42" s="408">
        <f t="shared" si="0"/>
        <v>13.383939272872553</v>
      </c>
      <c r="O42" s="118"/>
      <c r="P42" s="127"/>
    </row>
    <row r="43" spans="1:16" s="103" customFormat="1" ht="13.5" customHeight="1">
      <c r="A43" s="54">
        <v>34</v>
      </c>
      <c r="B43" s="57" t="s">
        <v>242</v>
      </c>
      <c r="C43" s="57">
        <v>87</v>
      </c>
      <c r="D43" s="57">
        <v>0</v>
      </c>
      <c r="E43" s="57">
        <v>0</v>
      </c>
      <c r="F43" s="57">
        <v>341</v>
      </c>
      <c r="G43" s="190">
        <f t="shared" si="8"/>
        <v>341</v>
      </c>
      <c r="H43" s="57">
        <v>0</v>
      </c>
      <c r="I43" s="408">
        <f t="shared" si="6"/>
        <v>0</v>
      </c>
      <c r="J43" s="190">
        <f>'TABLE-6'!D44</f>
        <v>0</v>
      </c>
      <c r="K43" s="408">
        <f t="shared" si="9"/>
        <v>0</v>
      </c>
      <c r="L43" s="408">
        <f t="shared" si="7"/>
        <v>0</v>
      </c>
      <c r="M43" s="190">
        <f>'TABLE-3'!G42</f>
        <v>869</v>
      </c>
      <c r="N43" s="408">
        <f t="shared" si="0"/>
        <v>39.24050632911392</v>
      </c>
      <c r="O43" s="19"/>
      <c r="P43" s="22"/>
    </row>
    <row r="44" spans="1:16" ht="13.5" customHeight="1">
      <c r="A44" s="54">
        <v>35</v>
      </c>
      <c r="B44" s="116" t="s">
        <v>256</v>
      </c>
      <c r="C44" s="116">
        <v>303</v>
      </c>
      <c r="D44" s="116">
        <v>695</v>
      </c>
      <c r="E44" s="116">
        <v>2113</v>
      </c>
      <c r="F44" s="116">
        <v>550</v>
      </c>
      <c r="G44" s="190">
        <f t="shared" si="8"/>
        <v>3358</v>
      </c>
      <c r="H44" s="116">
        <v>282</v>
      </c>
      <c r="I44" s="408">
        <f t="shared" si="6"/>
        <v>3.20636725412166</v>
      </c>
      <c r="J44" s="190">
        <f>'TABLE-6'!D45</f>
        <v>10</v>
      </c>
      <c r="K44" s="408">
        <f t="shared" si="9"/>
        <v>0.11370096645821488</v>
      </c>
      <c r="L44" s="408">
        <f t="shared" si="7"/>
        <v>0.29779630732578916</v>
      </c>
      <c r="M44" s="190">
        <f>'TABLE-3'!G43</f>
        <v>8795</v>
      </c>
      <c r="N44" s="408">
        <f t="shared" si="0"/>
        <v>38.18078453666856</v>
      </c>
      <c r="O44" s="118"/>
      <c r="P44" s="127"/>
    </row>
    <row r="45" spans="1:16" ht="13.5" customHeight="1">
      <c r="A45" s="54">
        <v>36</v>
      </c>
      <c r="B45" s="116" t="s">
        <v>24</v>
      </c>
      <c r="C45" s="116">
        <v>386</v>
      </c>
      <c r="D45" s="116">
        <v>99</v>
      </c>
      <c r="E45" s="116">
        <v>1205</v>
      </c>
      <c r="F45" s="116">
        <v>991</v>
      </c>
      <c r="G45" s="190">
        <f t="shared" si="8"/>
        <v>2295</v>
      </c>
      <c r="H45" s="116">
        <v>38</v>
      </c>
      <c r="I45" s="408">
        <f t="shared" si="6"/>
        <v>0.8021954823728097</v>
      </c>
      <c r="J45" s="190">
        <f>'TABLE-6'!D46</f>
        <v>41</v>
      </c>
      <c r="K45" s="408">
        <f t="shared" si="9"/>
        <v>0.8655267046653999</v>
      </c>
      <c r="L45" s="408">
        <f t="shared" si="7"/>
        <v>1.7864923747276689</v>
      </c>
      <c r="M45" s="190">
        <f>'TABLE-3'!G44</f>
        <v>4737</v>
      </c>
      <c r="N45" s="408">
        <f t="shared" si="0"/>
        <v>48.44838505383154</v>
      </c>
      <c r="O45" s="118"/>
      <c r="P45" s="127"/>
    </row>
    <row r="46" spans="1:16" ht="13.5" customHeight="1">
      <c r="A46" s="54">
        <v>37</v>
      </c>
      <c r="B46" s="116" t="s">
        <v>223</v>
      </c>
      <c r="C46" s="116">
        <v>18</v>
      </c>
      <c r="D46" s="116">
        <v>1024</v>
      </c>
      <c r="E46" s="116">
        <v>0</v>
      </c>
      <c r="F46" s="116">
        <v>41</v>
      </c>
      <c r="G46" s="190">
        <f t="shared" si="8"/>
        <v>1065</v>
      </c>
      <c r="H46" s="116">
        <v>15</v>
      </c>
      <c r="I46" s="408">
        <f t="shared" si="6"/>
        <v>0.25075225677031093</v>
      </c>
      <c r="J46" s="190">
        <f>'TABLE-6'!D47</f>
        <v>0</v>
      </c>
      <c r="K46" s="408">
        <f t="shared" si="9"/>
        <v>0</v>
      </c>
      <c r="L46" s="408">
        <f t="shared" si="7"/>
        <v>0</v>
      </c>
      <c r="M46" s="190">
        <f>'TABLE-3'!G45</f>
        <v>5982</v>
      </c>
      <c r="N46" s="408">
        <f t="shared" si="0"/>
        <v>17.803410230692077</v>
      </c>
      <c r="O46" s="118"/>
      <c r="P46" s="127"/>
    </row>
    <row r="47" spans="1:16" ht="13.5" customHeight="1">
      <c r="A47" s="54">
        <v>38</v>
      </c>
      <c r="B47" s="116" t="s">
        <v>364</v>
      </c>
      <c r="C47" s="116">
        <v>43</v>
      </c>
      <c r="D47" s="116">
        <v>13</v>
      </c>
      <c r="E47" s="116">
        <v>8</v>
      </c>
      <c r="F47" s="116">
        <v>110</v>
      </c>
      <c r="G47" s="190">
        <f t="shared" si="8"/>
        <v>131</v>
      </c>
      <c r="H47" s="116">
        <v>13</v>
      </c>
      <c r="I47" s="408">
        <f t="shared" si="6"/>
        <v>1.9202363367799113</v>
      </c>
      <c r="J47" s="190">
        <f>'TABLE-6'!D48</f>
        <v>0</v>
      </c>
      <c r="K47" s="408">
        <f t="shared" si="9"/>
        <v>0</v>
      </c>
      <c r="L47" s="408">
        <f t="shared" si="7"/>
        <v>0</v>
      </c>
      <c r="M47" s="190">
        <f>'TABLE-3'!G46</f>
        <v>677</v>
      </c>
      <c r="N47" s="408">
        <f t="shared" si="0"/>
        <v>19.35007385524372</v>
      </c>
      <c r="O47" s="118"/>
      <c r="P47" s="127"/>
    </row>
    <row r="48" spans="1:16" ht="13.5" customHeight="1">
      <c r="A48" s="54">
        <v>39</v>
      </c>
      <c r="B48" s="116" t="s">
        <v>366</v>
      </c>
      <c r="C48" s="116">
        <v>2751</v>
      </c>
      <c r="D48" s="116">
        <v>20915</v>
      </c>
      <c r="E48" s="116">
        <v>11491</v>
      </c>
      <c r="F48" s="116">
        <v>13352</v>
      </c>
      <c r="G48" s="190">
        <f t="shared" si="8"/>
        <v>45758</v>
      </c>
      <c r="H48" s="116">
        <v>3982</v>
      </c>
      <c r="I48" s="408">
        <f t="shared" si="6"/>
        <v>3.9387524975766084</v>
      </c>
      <c r="J48" s="190">
        <f>'TABLE-6'!D49</f>
        <v>747</v>
      </c>
      <c r="K48" s="408">
        <f t="shared" si="9"/>
        <v>0.738887020514748</v>
      </c>
      <c r="L48" s="408">
        <f t="shared" si="7"/>
        <v>1.632501420516631</v>
      </c>
      <c r="M48" s="190">
        <f>'TABLE-3'!G47</f>
        <v>101098</v>
      </c>
      <c r="N48" s="408">
        <f t="shared" si="0"/>
        <v>45.26103384834517</v>
      </c>
      <c r="O48" s="118"/>
      <c r="P48" s="127"/>
    </row>
    <row r="49" spans="1:16" ht="12.75">
      <c r="A49" s="115"/>
      <c r="B49" s="121" t="s">
        <v>225</v>
      </c>
      <c r="C49" s="121">
        <f aca="true" t="shared" si="11" ref="C49:H49">SUM(C36:C48)</f>
        <v>52277</v>
      </c>
      <c r="D49" s="121">
        <f t="shared" si="11"/>
        <v>159416</v>
      </c>
      <c r="E49" s="121">
        <f t="shared" si="11"/>
        <v>68346</v>
      </c>
      <c r="F49" s="121">
        <f t="shared" si="11"/>
        <v>121359</v>
      </c>
      <c r="G49" s="249">
        <f t="shared" si="11"/>
        <v>349121</v>
      </c>
      <c r="H49" s="121">
        <f t="shared" si="11"/>
        <v>76523</v>
      </c>
      <c r="I49" s="409">
        <f t="shared" si="6"/>
        <v>9.175210636688133</v>
      </c>
      <c r="J49" s="249">
        <f>SUM(J36:J48)</f>
        <v>6514</v>
      </c>
      <c r="K49" s="409">
        <f>(J49/M49)*100</f>
        <v>0.7810373624581695</v>
      </c>
      <c r="L49" s="409">
        <f t="shared" si="7"/>
        <v>1.8658287527819866</v>
      </c>
      <c r="M49" s="249">
        <f>SUM(M36:M48)</f>
        <v>834019</v>
      </c>
      <c r="N49" s="409">
        <f t="shared" si="0"/>
        <v>41.860077528209786</v>
      </c>
      <c r="O49" s="118"/>
      <c r="P49" s="127"/>
    </row>
    <row r="50" spans="1:16" ht="12.75">
      <c r="A50" s="115"/>
      <c r="B50" s="175" t="s">
        <v>123</v>
      </c>
      <c r="C50" s="121">
        <f aca="true" t="shared" si="12" ref="C50:H50">C27+C35+C49</f>
        <v>2190386</v>
      </c>
      <c r="D50" s="121">
        <f t="shared" si="12"/>
        <v>1904866</v>
      </c>
      <c r="E50" s="121">
        <f t="shared" si="12"/>
        <v>829255</v>
      </c>
      <c r="F50" s="121">
        <f t="shared" si="12"/>
        <v>929827</v>
      </c>
      <c r="G50" s="249">
        <f t="shared" si="12"/>
        <v>3663948</v>
      </c>
      <c r="H50" s="121">
        <f t="shared" si="12"/>
        <v>1634712</v>
      </c>
      <c r="I50" s="409">
        <f t="shared" si="6"/>
        <v>25.829175709787556</v>
      </c>
      <c r="J50" s="249">
        <f>J27+J35+J49</f>
        <v>852510</v>
      </c>
      <c r="K50" s="409">
        <f>(J50/M50)*100</f>
        <v>13.470036669670856</v>
      </c>
      <c r="L50" s="409">
        <f t="shared" si="7"/>
        <v>23.26752453910372</v>
      </c>
      <c r="M50" s="249">
        <f>M27+M35+M49</f>
        <v>6328936</v>
      </c>
      <c r="N50" s="409">
        <f t="shared" si="0"/>
        <v>57.89200586006874</v>
      </c>
      <c r="P50" s="297"/>
    </row>
    <row r="51" spans="1:16" ht="14.25">
      <c r="A51" s="120"/>
      <c r="B51" s="120"/>
      <c r="C51" s="504"/>
      <c r="D51" s="285"/>
      <c r="E51" s="285"/>
      <c r="F51" s="285"/>
      <c r="G51" s="532"/>
      <c r="H51" s="285"/>
      <c r="I51" s="530"/>
      <c r="J51" s="530"/>
      <c r="K51" s="530"/>
      <c r="L51" s="530"/>
      <c r="M51" s="530"/>
      <c r="N51" s="530"/>
      <c r="P51" s="118"/>
    </row>
    <row r="52" spans="1:16" ht="14.25">
      <c r="A52" s="119"/>
      <c r="B52" s="119"/>
      <c r="C52" s="148"/>
      <c r="D52" s="285"/>
      <c r="E52" s="285"/>
      <c r="F52" s="285"/>
      <c r="G52" s="532"/>
      <c r="H52" s="280"/>
      <c r="I52" s="530"/>
      <c r="J52" s="530"/>
      <c r="K52" s="530"/>
      <c r="L52" s="530"/>
      <c r="M52" s="530"/>
      <c r="N52" s="530"/>
      <c r="P52" s="297"/>
    </row>
    <row r="53" spans="1:16" ht="15" customHeight="1">
      <c r="A53" s="120"/>
      <c r="B53" s="120"/>
      <c r="C53" s="277" t="s">
        <v>36</v>
      </c>
      <c r="D53" s="281" t="s">
        <v>36</v>
      </c>
      <c r="E53" s="281"/>
      <c r="F53" s="281"/>
      <c r="G53" s="531" t="s">
        <v>36</v>
      </c>
      <c r="H53" s="281" t="s">
        <v>36</v>
      </c>
      <c r="I53" s="531"/>
      <c r="J53" s="531" t="s">
        <v>36</v>
      </c>
      <c r="K53" s="531" t="s">
        <v>36</v>
      </c>
      <c r="L53" s="531"/>
      <c r="M53" s="530"/>
      <c r="N53" s="530"/>
      <c r="P53" s="297"/>
    </row>
    <row r="54" spans="1:16" ht="13.5" customHeight="1">
      <c r="A54" s="352" t="s">
        <v>4</v>
      </c>
      <c r="B54" s="488" t="s">
        <v>5</v>
      </c>
      <c r="C54" s="278" t="s">
        <v>56</v>
      </c>
      <c r="D54" s="633" t="s">
        <v>280</v>
      </c>
      <c r="E54" s="634"/>
      <c r="F54" s="634"/>
      <c r="G54" s="635"/>
      <c r="H54" s="636" t="s">
        <v>131</v>
      </c>
      <c r="I54" s="637"/>
      <c r="J54" s="636" t="s">
        <v>132</v>
      </c>
      <c r="K54" s="638"/>
      <c r="L54" s="637"/>
      <c r="M54" s="542"/>
      <c r="N54" s="542"/>
      <c r="P54" s="518"/>
    </row>
    <row r="55" spans="1:16" ht="12.75">
      <c r="A55" s="331" t="s">
        <v>6</v>
      </c>
      <c r="B55" s="489"/>
      <c r="C55" s="357" t="s">
        <v>57</v>
      </c>
      <c r="D55" s="286"/>
      <c r="E55" s="286"/>
      <c r="F55" s="286"/>
      <c r="G55" s="533"/>
      <c r="H55" s="639" t="s">
        <v>111</v>
      </c>
      <c r="I55" s="640"/>
      <c r="J55" s="639" t="s">
        <v>58</v>
      </c>
      <c r="K55" s="641"/>
      <c r="L55" s="640"/>
      <c r="M55" s="534" t="s">
        <v>59</v>
      </c>
      <c r="N55" s="534" t="s">
        <v>60</v>
      </c>
      <c r="P55" s="297"/>
    </row>
    <row r="56" spans="1:16" ht="12.75">
      <c r="A56" s="331"/>
      <c r="B56" s="489"/>
      <c r="C56" s="357" t="s">
        <v>61</v>
      </c>
      <c r="D56" s="517" t="s">
        <v>237</v>
      </c>
      <c r="E56" s="517" t="s">
        <v>375</v>
      </c>
      <c r="F56" s="517" t="s">
        <v>62</v>
      </c>
      <c r="G56" s="534" t="s">
        <v>3</v>
      </c>
      <c r="H56" s="286" t="s">
        <v>63</v>
      </c>
      <c r="I56" s="533" t="s">
        <v>64</v>
      </c>
      <c r="J56" s="533" t="s">
        <v>63</v>
      </c>
      <c r="K56" s="533" t="s">
        <v>64</v>
      </c>
      <c r="L56" s="533" t="s">
        <v>64</v>
      </c>
      <c r="M56" s="534" t="s">
        <v>65</v>
      </c>
      <c r="N56" s="543" t="s">
        <v>376</v>
      </c>
      <c r="P56" s="118"/>
    </row>
    <row r="57" spans="1:16" ht="12.75">
      <c r="A57" s="332"/>
      <c r="B57" s="490"/>
      <c r="C57" s="279" t="s">
        <v>66</v>
      </c>
      <c r="D57" s="288"/>
      <c r="E57" s="288"/>
      <c r="F57" s="288"/>
      <c r="G57" s="535"/>
      <c r="H57" s="288"/>
      <c r="I57" s="535" t="s">
        <v>67</v>
      </c>
      <c r="J57" s="535"/>
      <c r="K57" s="541" t="s">
        <v>377</v>
      </c>
      <c r="L57" s="535" t="s">
        <v>66</v>
      </c>
      <c r="M57" s="539"/>
      <c r="N57" s="539"/>
      <c r="P57" s="118"/>
    </row>
    <row r="58" spans="1:16" ht="15" customHeight="1">
      <c r="A58" s="54">
        <v>40</v>
      </c>
      <c r="B58" s="57" t="s">
        <v>78</v>
      </c>
      <c r="C58" s="116">
        <v>33241</v>
      </c>
      <c r="D58" s="116">
        <v>18335</v>
      </c>
      <c r="E58" s="116">
        <v>325</v>
      </c>
      <c r="F58" s="116">
        <v>5440</v>
      </c>
      <c r="G58" s="536">
        <f aca="true" t="shared" si="13" ref="G58:G65">SUM(D58:F58)</f>
        <v>24100</v>
      </c>
      <c r="H58" s="116">
        <v>18335</v>
      </c>
      <c r="I58" s="408">
        <f aca="true" t="shared" si="14" ref="I58:I72">(H58/M58)*100</f>
        <v>71.03560497462323</v>
      </c>
      <c r="J58" s="536">
        <f>'TABLE-6'!D60</f>
        <v>6300</v>
      </c>
      <c r="K58" s="408">
        <f aca="true" t="shared" si="15" ref="K58:K65">(J58/M58)*100</f>
        <v>24.40819805509279</v>
      </c>
      <c r="L58" s="408">
        <f aca="true" t="shared" si="16" ref="L58:L72">(J58/G58)*100</f>
        <v>26.141078838174277</v>
      </c>
      <c r="M58" s="190">
        <f>'TABLE-3'!G56</f>
        <v>25811</v>
      </c>
      <c r="N58" s="408">
        <f aca="true" t="shared" si="17" ref="N58:N72">(G58/M58)*100</f>
        <v>93.37104335360893</v>
      </c>
      <c r="P58" s="118"/>
    </row>
    <row r="59" spans="1:16" ht="15" customHeight="1">
      <c r="A59" s="54">
        <v>41</v>
      </c>
      <c r="B59" s="57" t="s">
        <v>278</v>
      </c>
      <c r="C59" s="116">
        <v>204895</v>
      </c>
      <c r="D59" s="116">
        <v>69247</v>
      </c>
      <c r="E59" s="116">
        <v>9529</v>
      </c>
      <c r="F59" s="116">
        <v>11514</v>
      </c>
      <c r="G59" s="536">
        <f>SUM(D59:F59)</f>
        <v>90290</v>
      </c>
      <c r="H59" s="116">
        <v>69247</v>
      </c>
      <c r="I59" s="408">
        <f t="shared" si="14"/>
        <v>70.08734729405572</v>
      </c>
      <c r="J59" s="536">
        <f>'TABLE-6'!D61</f>
        <v>42400</v>
      </c>
      <c r="K59" s="408">
        <f t="shared" si="15"/>
        <v>42.91454539933806</v>
      </c>
      <c r="L59" s="408">
        <f t="shared" si="16"/>
        <v>46.95979621220512</v>
      </c>
      <c r="M59" s="190">
        <f>'TABLE-3'!G57</f>
        <v>98801</v>
      </c>
      <c r="N59" s="408">
        <f t="shared" si="17"/>
        <v>91.38571471948664</v>
      </c>
      <c r="P59" s="118"/>
    </row>
    <row r="60" spans="1:16" ht="15" customHeight="1">
      <c r="A60" s="54">
        <v>42</v>
      </c>
      <c r="B60" s="57" t="s">
        <v>30</v>
      </c>
      <c r="C60" s="116">
        <v>10363</v>
      </c>
      <c r="D60" s="116">
        <v>4606</v>
      </c>
      <c r="E60" s="116">
        <v>828</v>
      </c>
      <c r="F60" s="116">
        <v>1085</v>
      </c>
      <c r="G60" s="536">
        <f t="shared" si="13"/>
        <v>6519</v>
      </c>
      <c r="H60" s="116">
        <v>4606</v>
      </c>
      <c r="I60" s="408">
        <f t="shared" si="14"/>
        <v>60.8937070333157</v>
      </c>
      <c r="J60" s="536">
        <f>'TABLE-6'!D62</f>
        <v>1948</v>
      </c>
      <c r="K60" s="408">
        <f t="shared" si="15"/>
        <v>25.753569539925962</v>
      </c>
      <c r="L60" s="408">
        <f t="shared" si="16"/>
        <v>29.88188372449762</v>
      </c>
      <c r="M60" s="190">
        <f>'TABLE-3'!G58</f>
        <v>7564</v>
      </c>
      <c r="N60" s="408">
        <f t="shared" si="17"/>
        <v>86.18455843469064</v>
      </c>
      <c r="P60" s="118"/>
    </row>
    <row r="61" spans="1:16" ht="15" customHeight="1">
      <c r="A61" s="54">
        <v>43</v>
      </c>
      <c r="B61" s="57" t="s">
        <v>234</v>
      </c>
      <c r="C61" s="116">
        <v>126032</v>
      </c>
      <c r="D61" s="116">
        <v>86244</v>
      </c>
      <c r="E61" s="116">
        <v>7400</v>
      </c>
      <c r="F61" s="116">
        <v>3940</v>
      </c>
      <c r="G61" s="536">
        <f t="shared" si="13"/>
        <v>97584</v>
      </c>
      <c r="H61" s="116">
        <v>84972</v>
      </c>
      <c r="I61" s="408">
        <f t="shared" si="14"/>
        <v>72.84167573915802</v>
      </c>
      <c r="J61" s="536">
        <f>'TABLE-6'!D63</f>
        <v>22575</v>
      </c>
      <c r="K61" s="408">
        <f t="shared" si="15"/>
        <v>19.35226697984621</v>
      </c>
      <c r="L61" s="408">
        <f t="shared" si="16"/>
        <v>23.13391539596655</v>
      </c>
      <c r="M61" s="190">
        <f>'TABLE-3'!G59</f>
        <v>116653</v>
      </c>
      <c r="N61" s="408">
        <f t="shared" si="17"/>
        <v>83.6532279495598</v>
      </c>
      <c r="P61" s="118"/>
    </row>
    <row r="62" spans="1:16" ht="15" customHeight="1">
      <c r="A62" s="54">
        <v>44</v>
      </c>
      <c r="B62" s="57" t="s">
        <v>29</v>
      </c>
      <c r="C62" s="116">
        <v>28832</v>
      </c>
      <c r="D62" s="116">
        <v>8188</v>
      </c>
      <c r="E62" s="116">
        <v>725</v>
      </c>
      <c r="F62" s="116">
        <v>6184</v>
      </c>
      <c r="G62" s="536">
        <f t="shared" si="13"/>
        <v>15097</v>
      </c>
      <c r="H62" s="116">
        <v>8188</v>
      </c>
      <c r="I62" s="408">
        <f t="shared" si="14"/>
        <v>39.821029082774054</v>
      </c>
      <c r="J62" s="536">
        <f>'TABLE-6'!D64</f>
        <v>3742</v>
      </c>
      <c r="K62" s="408">
        <f t="shared" si="15"/>
        <v>18.19861881139967</v>
      </c>
      <c r="L62" s="408">
        <f t="shared" si="16"/>
        <v>24.786381400278202</v>
      </c>
      <c r="M62" s="190">
        <f>'TABLE-3'!G60</f>
        <v>20562</v>
      </c>
      <c r="N62" s="408">
        <f t="shared" si="17"/>
        <v>73.42184612391792</v>
      </c>
      <c r="P62" s="118"/>
    </row>
    <row r="63" spans="1:16" ht="15" customHeight="1">
      <c r="A63" s="54">
        <v>45</v>
      </c>
      <c r="B63" s="57" t="s">
        <v>391</v>
      </c>
      <c r="C63" s="116">
        <v>219742</v>
      </c>
      <c r="D63" s="116">
        <v>99826</v>
      </c>
      <c r="E63" s="116">
        <v>7303</v>
      </c>
      <c r="F63" s="116">
        <v>16431</v>
      </c>
      <c r="G63" s="536">
        <f t="shared" si="13"/>
        <v>123560</v>
      </c>
      <c r="H63" s="116">
        <v>99826</v>
      </c>
      <c r="I63" s="408">
        <f t="shared" si="14"/>
        <v>66.27892308203033</v>
      </c>
      <c r="J63" s="536">
        <f>'TABLE-6'!D65</f>
        <v>50111</v>
      </c>
      <c r="K63" s="408">
        <f t="shared" si="15"/>
        <v>33.27092255087475</v>
      </c>
      <c r="L63" s="408">
        <f t="shared" si="16"/>
        <v>40.556005179669796</v>
      </c>
      <c r="M63" s="190">
        <f>'TABLE-3'!G61</f>
        <v>150615</v>
      </c>
      <c r="N63" s="408">
        <f t="shared" si="17"/>
        <v>82.03698170832918</v>
      </c>
      <c r="P63" s="118"/>
    </row>
    <row r="64" spans="1:16" ht="15" customHeight="1">
      <c r="A64" s="54">
        <v>46</v>
      </c>
      <c r="B64" s="57" t="s">
        <v>25</v>
      </c>
      <c r="C64" s="116">
        <v>38211</v>
      </c>
      <c r="D64" s="116">
        <v>11970</v>
      </c>
      <c r="E64" s="116">
        <v>301</v>
      </c>
      <c r="F64" s="116">
        <v>1207</v>
      </c>
      <c r="G64" s="536">
        <f t="shared" si="13"/>
        <v>13478</v>
      </c>
      <c r="H64" s="116">
        <v>11970</v>
      </c>
      <c r="I64" s="408">
        <f t="shared" si="14"/>
        <v>70.8116422148604</v>
      </c>
      <c r="J64" s="536">
        <f>'TABLE-6'!D66</f>
        <v>9681</v>
      </c>
      <c r="K64" s="408">
        <f t="shared" si="15"/>
        <v>57.270468528159014</v>
      </c>
      <c r="L64" s="408">
        <f t="shared" si="16"/>
        <v>71.82816441608547</v>
      </c>
      <c r="M64" s="190">
        <f>'TABLE-3'!G62</f>
        <v>16904</v>
      </c>
      <c r="N64" s="408">
        <f t="shared" si="17"/>
        <v>79.73260766682442</v>
      </c>
      <c r="P64" s="118"/>
    </row>
    <row r="65" spans="1:16" ht="15" customHeight="1">
      <c r="A65" s="54">
        <v>47</v>
      </c>
      <c r="B65" s="57" t="s">
        <v>28</v>
      </c>
      <c r="C65" s="116">
        <v>11810</v>
      </c>
      <c r="D65" s="116">
        <v>9495</v>
      </c>
      <c r="E65" s="116">
        <v>995</v>
      </c>
      <c r="F65" s="116">
        <v>3843</v>
      </c>
      <c r="G65" s="536">
        <f t="shared" si="13"/>
        <v>14333</v>
      </c>
      <c r="H65" s="116">
        <v>9495</v>
      </c>
      <c r="I65" s="408">
        <f t="shared" si="14"/>
        <v>60.339349262836805</v>
      </c>
      <c r="J65" s="536">
        <f>'TABLE-6'!D67</f>
        <v>2386</v>
      </c>
      <c r="K65" s="408">
        <f t="shared" si="15"/>
        <v>15.16268429079817</v>
      </c>
      <c r="L65" s="408">
        <f t="shared" si="16"/>
        <v>16.64689876508756</v>
      </c>
      <c r="M65" s="190">
        <f>'TABLE-3'!G63</f>
        <v>15736</v>
      </c>
      <c r="N65" s="408">
        <f t="shared" si="17"/>
        <v>91.08413828164717</v>
      </c>
      <c r="P65" s="118"/>
    </row>
    <row r="66" spans="1:16" ht="15" customHeight="1">
      <c r="A66" s="54"/>
      <c r="B66" s="175" t="s">
        <v>123</v>
      </c>
      <c r="C66" s="121">
        <f aca="true" t="shared" si="18" ref="C66:H66">SUM(C58:C65)</f>
        <v>673126</v>
      </c>
      <c r="D66" s="284">
        <f t="shared" si="18"/>
        <v>307911</v>
      </c>
      <c r="E66" s="284">
        <f t="shared" si="18"/>
        <v>27406</v>
      </c>
      <c r="F66" s="284">
        <f t="shared" si="18"/>
        <v>49644</v>
      </c>
      <c r="G66" s="409">
        <f t="shared" si="18"/>
        <v>384961</v>
      </c>
      <c r="H66" s="284">
        <f t="shared" si="18"/>
        <v>306639</v>
      </c>
      <c r="I66" s="409">
        <f t="shared" si="14"/>
        <v>67.7436672366485</v>
      </c>
      <c r="J66" s="409">
        <f>SUM(J58:J65)</f>
        <v>139143</v>
      </c>
      <c r="K66" s="409">
        <f>(J66/M66)*100</f>
        <v>30.73991596081706</v>
      </c>
      <c r="L66" s="409">
        <f t="shared" si="16"/>
        <v>36.1447003722455</v>
      </c>
      <c r="M66" s="409">
        <f>SUM(M58:M65)</f>
        <v>452646</v>
      </c>
      <c r="N66" s="409">
        <f t="shared" si="17"/>
        <v>85.04681362477521</v>
      </c>
      <c r="P66" s="118"/>
    </row>
    <row r="67" spans="1:16" ht="15" customHeight="1">
      <c r="A67" s="54"/>
      <c r="B67" s="116"/>
      <c r="C67" s="116"/>
      <c r="D67" s="116"/>
      <c r="E67" s="116"/>
      <c r="F67" s="116"/>
      <c r="G67" s="190"/>
      <c r="H67" s="116"/>
      <c r="I67" s="408"/>
      <c r="J67" s="190"/>
      <c r="K67" s="408"/>
      <c r="L67" s="408"/>
      <c r="M67" s="190"/>
      <c r="N67" s="408"/>
      <c r="P67" s="118"/>
    </row>
    <row r="68" spans="1:16" ht="15" customHeight="1">
      <c r="A68" s="54">
        <v>48</v>
      </c>
      <c r="B68" s="116" t="s">
        <v>34</v>
      </c>
      <c r="C68" s="116">
        <v>241688</v>
      </c>
      <c r="D68" s="116">
        <v>485421</v>
      </c>
      <c r="E68" s="116">
        <v>0</v>
      </c>
      <c r="F68" s="116">
        <v>54193</v>
      </c>
      <c r="G68" s="190">
        <f>SUM(D68:F68)</f>
        <v>539614</v>
      </c>
      <c r="H68" s="116">
        <v>472942</v>
      </c>
      <c r="I68" s="408">
        <f t="shared" si="14"/>
        <v>87.64466386095219</v>
      </c>
      <c r="J68" s="536">
        <f>'TABLE-6'!D70</f>
        <v>69757</v>
      </c>
      <c r="K68" s="408">
        <f>(J68/M68)*100</f>
        <v>12.92722747598742</v>
      </c>
      <c r="L68" s="408">
        <f t="shared" si="16"/>
        <v>12.927203519552865</v>
      </c>
      <c r="M68" s="190">
        <f>'TABLE-3'!G66</f>
        <v>539613</v>
      </c>
      <c r="N68" s="408">
        <f t="shared" si="17"/>
        <v>100.00018531799641</v>
      </c>
      <c r="P68" s="118"/>
    </row>
    <row r="69" spans="1:16" ht="15" customHeight="1">
      <c r="A69" s="54">
        <v>49</v>
      </c>
      <c r="B69" s="116" t="s">
        <v>130</v>
      </c>
      <c r="C69" s="116">
        <v>89562</v>
      </c>
      <c r="D69" s="116">
        <v>119444</v>
      </c>
      <c r="E69" s="116">
        <v>0</v>
      </c>
      <c r="F69" s="116">
        <v>425</v>
      </c>
      <c r="G69" s="190">
        <f>SUM(D69:F69)</f>
        <v>119869</v>
      </c>
      <c r="H69" s="116">
        <v>119653</v>
      </c>
      <c r="I69" s="408">
        <f t="shared" si="14"/>
        <v>99.81980328525307</v>
      </c>
      <c r="J69" s="536">
        <f>'TABLE-6'!D71</f>
        <v>32183</v>
      </c>
      <c r="K69" s="408">
        <f>(J69/M69)*100</f>
        <v>26.848476253243124</v>
      </c>
      <c r="L69" s="408">
        <f t="shared" si="16"/>
        <v>26.848476253243124</v>
      </c>
      <c r="M69" s="190">
        <f>'TABLE-3'!G67</f>
        <v>119869</v>
      </c>
      <c r="N69" s="408">
        <f t="shared" si="17"/>
        <v>100</v>
      </c>
      <c r="P69" s="118"/>
    </row>
    <row r="70" spans="1:16" ht="15" customHeight="1">
      <c r="A70" s="115"/>
      <c r="B70" s="175" t="s">
        <v>123</v>
      </c>
      <c r="C70" s="121">
        <f aca="true" t="shared" si="19" ref="C70:H70">SUM(C68:C69)</f>
        <v>331250</v>
      </c>
      <c r="D70" s="284">
        <f t="shared" si="19"/>
        <v>604865</v>
      </c>
      <c r="E70" s="284">
        <f t="shared" si="19"/>
        <v>0</v>
      </c>
      <c r="F70" s="284">
        <f t="shared" si="19"/>
        <v>54618</v>
      </c>
      <c r="G70" s="409">
        <f t="shared" si="19"/>
        <v>659483</v>
      </c>
      <c r="H70" s="284">
        <f t="shared" si="19"/>
        <v>592595</v>
      </c>
      <c r="I70" s="409">
        <f t="shared" si="14"/>
        <v>89.8576458493181</v>
      </c>
      <c r="J70" s="409">
        <f>SUM(J68:J69)</f>
        <v>101940</v>
      </c>
      <c r="K70" s="409">
        <f>(J70/M70)*100</f>
        <v>15.45758640872685</v>
      </c>
      <c r="L70" s="409">
        <f t="shared" si="16"/>
        <v>15.457562969780875</v>
      </c>
      <c r="M70" s="409">
        <f>SUM(M68:M69)</f>
        <v>659482</v>
      </c>
      <c r="N70" s="409">
        <f t="shared" si="17"/>
        <v>100.00015163416136</v>
      </c>
      <c r="P70" s="297"/>
    </row>
    <row r="71" spans="1:16" ht="15" customHeight="1">
      <c r="A71" s="115"/>
      <c r="B71" s="175"/>
      <c r="C71" s="121"/>
      <c r="D71" s="284"/>
      <c r="E71" s="284"/>
      <c r="F71" s="284"/>
      <c r="G71" s="409"/>
      <c r="H71" s="284"/>
      <c r="I71" s="408"/>
      <c r="J71" s="409"/>
      <c r="K71" s="408"/>
      <c r="L71" s="408"/>
      <c r="M71" s="409"/>
      <c r="N71" s="408"/>
      <c r="P71" s="297"/>
    </row>
    <row r="72" spans="1:14" ht="15" customHeight="1">
      <c r="A72" s="115"/>
      <c r="B72" s="175" t="s">
        <v>35</v>
      </c>
      <c r="C72" s="121">
        <f>C50+C66+C70</f>
        <v>3194762</v>
      </c>
      <c r="D72" s="284">
        <f>D50+D66+D70</f>
        <v>2817642</v>
      </c>
      <c r="E72" s="284">
        <f>E50+E66+E70</f>
        <v>856661</v>
      </c>
      <c r="F72" s="284">
        <f>F50+F66+F70</f>
        <v>1034089</v>
      </c>
      <c r="G72" s="409">
        <f>+D72+E72+F72</f>
        <v>4708392</v>
      </c>
      <c r="H72" s="284">
        <f>H50+H66+H70</f>
        <v>2533946</v>
      </c>
      <c r="I72" s="409">
        <f t="shared" si="14"/>
        <v>34.05354395554184</v>
      </c>
      <c r="J72" s="409">
        <f>J50+J66+J70</f>
        <v>1093593</v>
      </c>
      <c r="K72" s="409">
        <f>(J72/M72)*100</f>
        <v>14.696728854905697</v>
      </c>
      <c r="L72" s="409">
        <f t="shared" si="16"/>
        <v>23.226464576441384</v>
      </c>
      <c r="M72" s="409">
        <f>M50+M66+M70</f>
        <v>7441064</v>
      </c>
      <c r="N72" s="409">
        <f t="shared" si="17"/>
        <v>63.27578959138101</v>
      </c>
    </row>
    <row r="73" spans="2:14" ht="12.75">
      <c r="B73" s="519"/>
      <c r="C73" s="291"/>
      <c r="D73" s="289"/>
      <c r="E73" s="289"/>
      <c r="F73" s="289"/>
      <c r="G73" s="537"/>
      <c r="H73" s="289"/>
      <c r="I73" s="540"/>
      <c r="J73" s="537"/>
      <c r="K73" s="540"/>
      <c r="L73" s="540"/>
      <c r="M73" s="537"/>
      <c r="N73" s="537"/>
    </row>
    <row r="74" spans="9:14" ht="12.75">
      <c r="I74" s="540"/>
      <c r="K74" s="540"/>
      <c r="L74" s="540"/>
      <c r="N74" s="540"/>
    </row>
    <row r="75" spans="2:14" ht="12.75">
      <c r="B75" s="519"/>
      <c r="C75" s="291"/>
      <c r="D75" s="289"/>
      <c r="E75" s="289"/>
      <c r="F75" s="289"/>
      <c r="G75" s="538" t="s">
        <v>36</v>
      </c>
      <c r="H75" s="289"/>
      <c r="I75" s="537"/>
      <c r="J75" s="537"/>
      <c r="K75" s="537"/>
      <c r="L75" s="537"/>
      <c r="M75" s="537"/>
      <c r="N75" s="537"/>
    </row>
    <row r="76" spans="3:7" ht="12.75">
      <c r="C76" s="127">
        <f>1921+6775+172</f>
        <v>8868</v>
      </c>
      <c r="G76" s="411" t="s">
        <v>36</v>
      </c>
    </row>
    <row r="79" spans="3:14" ht="12.75">
      <c r="C79" s="127">
        <v>3</v>
      </c>
      <c r="N79" s="411">
        <f>4399879.79</f>
        <v>4399879.79</v>
      </c>
    </row>
    <row r="82" ht="12.75">
      <c r="G82" s="411" t="s">
        <v>36</v>
      </c>
    </row>
    <row r="83" ht="12.75">
      <c r="G83" s="411" t="s">
        <v>36</v>
      </c>
    </row>
    <row r="84" ht="12.75">
      <c r="G84" s="411" t="s">
        <v>36</v>
      </c>
    </row>
  </sheetData>
  <sheetProtection/>
  <mergeCells count="10">
    <mergeCell ref="D4:G4"/>
    <mergeCell ref="J4:L4"/>
    <mergeCell ref="J5:L5"/>
    <mergeCell ref="H4:I4"/>
    <mergeCell ref="H5:I5"/>
    <mergeCell ref="D54:G54"/>
    <mergeCell ref="H54:I54"/>
    <mergeCell ref="J54:L54"/>
    <mergeCell ref="H55:I55"/>
    <mergeCell ref="J55:L55"/>
  </mergeCells>
  <printOptions gridLines="1" horizontalCentered="1"/>
  <pageMargins left="0.7480314960629921" right="0.7480314960629921" top="0.8" bottom="0.5511811023622047" header="0.5118110236220472" footer="0.5118110236220472"/>
  <pageSetup blackAndWhite="1" horizontalDpi="600" verticalDpi="600" orientation="landscape" paperSize="9" scale="70" r:id="rId2"/>
  <headerFooter alignWithMargins="0">
    <oddFooter xml:space="preserve">&amp;C&amp;"Arial,Bold" </oddFooter>
  </headerFooter>
  <rowBreaks count="1" manualBreakCount="1">
    <brk id="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.7109375" style="98" customWidth="1"/>
    <col min="2" max="2" width="21.8515625" style="98" customWidth="1"/>
    <col min="3" max="4" width="11.57421875" style="99" customWidth="1"/>
    <col min="5" max="5" width="10.7109375" style="99" customWidth="1"/>
    <col min="6" max="6" width="10.7109375" style="411" customWidth="1"/>
    <col min="7" max="7" width="10.00390625" style="99" customWidth="1"/>
    <col min="8" max="8" width="16.28125" style="99" customWidth="1"/>
    <col min="9" max="11" width="8.28125" style="471" customWidth="1"/>
    <col min="12" max="12" width="9.7109375" style="98" customWidth="1"/>
    <col min="13" max="13" width="9.57421875" style="98" customWidth="1"/>
    <col min="14" max="14" width="11.421875" style="98" customWidth="1"/>
    <col min="15" max="16" width="10.28125" style="98" customWidth="1"/>
    <col min="17" max="17" width="8.28125" style="98" customWidth="1"/>
    <col min="18" max="18" width="9.57421875" style="98" customWidth="1"/>
    <col min="19" max="19" width="8.28125" style="98" customWidth="1"/>
    <col min="20" max="20" width="8.140625" style="98" customWidth="1"/>
    <col min="21" max="21" width="9.140625" style="471" customWidth="1"/>
    <col min="22" max="22" width="10.140625" style="98" customWidth="1"/>
    <col min="23" max="24" width="11.57421875" style="471" customWidth="1"/>
    <col min="25" max="16384" width="9.140625" style="98" customWidth="1"/>
  </cols>
  <sheetData>
    <row r="1" spans="1:22" ht="15">
      <c r="A1" s="401"/>
      <c r="B1" s="401"/>
      <c r="C1" s="192"/>
      <c r="D1" s="192"/>
      <c r="E1" s="259"/>
      <c r="F1" s="468"/>
      <c r="G1" s="259"/>
      <c r="H1" s="259"/>
      <c r="I1" s="469"/>
      <c r="J1" s="469"/>
      <c r="K1" s="469"/>
      <c r="L1" s="470"/>
      <c r="M1" s="470"/>
      <c r="N1" s="470"/>
      <c r="O1" s="470"/>
      <c r="P1" s="470"/>
      <c r="V1" s="401"/>
    </row>
    <row r="2" spans="12:21" ht="15">
      <c r="L2" s="470"/>
      <c r="M2" s="470"/>
      <c r="N2" s="470"/>
      <c r="O2" s="470"/>
      <c r="S2" s="401"/>
      <c r="T2" s="401"/>
      <c r="U2" s="260"/>
    </row>
    <row r="3" spans="11:26" ht="12.75">
      <c r="K3" s="401"/>
      <c r="L3" s="401"/>
      <c r="M3" s="401"/>
      <c r="N3" s="472"/>
      <c r="O3" s="472"/>
      <c r="Q3" s="472"/>
      <c r="R3" s="472"/>
      <c r="S3" s="472"/>
      <c r="T3" s="472"/>
      <c r="U3" s="472"/>
      <c r="V3" s="472"/>
      <c r="W3" s="473"/>
      <c r="X3" s="98"/>
      <c r="Y3" s="471"/>
      <c r="Z3" s="471"/>
    </row>
    <row r="4" spans="1:26" ht="12.75">
      <c r="A4" s="402" t="s">
        <v>4</v>
      </c>
      <c r="B4" s="402" t="s">
        <v>5</v>
      </c>
      <c r="C4" s="474" t="s">
        <v>112</v>
      </c>
      <c r="D4" s="474" t="s">
        <v>113</v>
      </c>
      <c r="E4" s="474" t="s">
        <v>114</v>
      </c>
      <c r="F4" s="261" t="s">
        <v>3</v>
      </c>
      <c r="G4" s="474" t="s">
        <v>115</v>
      </c>
      <c r="H4" s="474" t="s">
        <v>116</v>
      </c>
      <c r="I4" s="260"/>
      <c r="J4" s="472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73"/>
      <c r="X4" s="472"/>
      <c r="Y4" s="475"/>
      <c r="Z4" s="476"/>
    </row>
    <row r="5" spans="1:26" ht="12.75">
      <c r="A5" s="477" t="s">
        <v>6</v>
      </c>
      <c r="B5" s="477"/>
      <c r="C5" s="262" t="s">
        <v>117</v>
      </c>
      <c r="D5" s="262"/>
      <c r="E5" s="263"/>
      <c r="F5" s="478" t="s">
        <v>171</v>
      </c>
      <c r="G5" s="263" t="s">
        <v>98</v>
      </c>
      <c r="H5" s="263" t="s">
        <v>118</v>
      </c>
      <c r="I5" s="260"/>
      <c r="J5" s="401"/>
      <c r="K5" s="401"/>
      <c r="L5" s="401"/>
      <c r="M5" s="401"/>
      <c r="N5" s="472"/>
      <c r="O5" s="472"/>
      <c r="P5" s="472"/>
      <c r="Q5" s="472"/>
      <c r="R5" s="472"/>
      <c r="S5" s="401"/>
      <c r="T5" s="401"/>
      <c r="U5" s="401"/>
      <c r="V5" s="401"/>
      <c r="W5" s="260"/>
      <c r="X5" s="401"/>
      <c r="Y5" s="475"/>
      <c r="Z5" s="476"/>
    </row>
    <row r="6" spans="1:26" ht="12.75">
      <c r="A6" s="477"/>
      <c r="B6" s="477"/>
      <c r="C6" s="262"/>
      <c r="D6" s="262"/>
      <c r="E6" s="642" t="s">
        <v>119</v>
      </c>
      <c r="F6" s="643"/>
      <c r="G6" s="643"/>
      <c r="H6" s="403"/>
      <c r="I6" s="260"/>
      <c r="K6" s="401"/>
      <c r="L6" s="401"/>
      <c r="M6" s="401"/>
      <c r="N6" s="472"/>
      <c r="O6" s="472"/>
      <c r="P6" s="472"/>
      <c r="Q6" s="472"/>
      <c r="R6" s="401"/>
      <c r="S6" s="401"/>
      <c r="T6" s="401"/>
      <c r="U6" s="401"/>
      <c r="V6" s="401"/>
      <c r="W6" s="260"/>
      <c r="X6" s="401"/>
      <c r="Y6" s="471"/>
      <c r="Z6" s="471"/>
    </row>
    <row r="7" spans="1:26" ht="12.75">
      <c r="A7" s="236">
        <v>1</v>
      </c>
      <c r="B7" s="264" t="s">
        <v>7</v>
      </c>
      <c r="C7" s="479">
        <f>'TABLE-3'!J7</f>
        <v>51.3616278369755</v>
      </c>
      <c r="D7" s="479">
        <f>'TABLE-2B'!J7</f>
        <v>50.493769189091566</v>
      </c>
      <c r="E7" s="480">
        <f>'TABLE-4'!N8</f>
        <v>70.65640379993133</v>
      </c>
      <c r="F7" s="480">
        <f>('TABLE-4'!D8*100)/('TABLE-4'!M8)</f>
        <v>42.570867193163174</v>
      </c>
      <c r="G7" s="479">
        <f>'TABLE-4'!K8</f>
        <v>18.885677768875663</v>
      </c>
      <c r="H7" s="480">
        <f>'TABLE-4'!L8</f>
        <v>26.728897528314366</v>
      </c>
      <c r="K7" s="98"/>
      <c r="N7" s="471"/>
      <c r="O7" s="471"/>
      <c r="P7" s="471"/>
      <c r="Q7" s="471"/>
      <c r="R7" s="471"/>
      <c r="S7" s="471"/>
      <c r="T7" s="471"/>
      <c r="V7" s="481"/>
      <c r="Y7" s="471"/>
      <c r="Z7" s="471"/>
    </row>
    <row r="8" spans="1:26" ht="12.75">
      <c r="A8" s="236">
        <v>2</v>
      </c>
      <c r="B8" s="264" t="s">
        <v>8</v>
      </c>
      <c r="C8" s="479">
        <f>'TABLE-3'!J8</f>
        <v>31.35469897458459</v>
      </c>
      <c r="D8" s="479">
        <f>'TABLE-2B'!J8</f>
        <v>31.35469897458459</v>
      </c>
      <c r="E8" s="480">
        <f>'TABLE-4'!N9</f>
        <v>40.20507285483001</v>
      </c>
      <c r="F8" s="480">
        <f>('TABLE-4'!D9*100)/('TABLE-4'!M9)</f>
        <v>15.283324338909877</v>
      </c>
      <c r="G8" s="479">
        <f>'TABLE-4'!K9</f>
        <v>1.7808958445763627</v>
      </c>
      <c r="H8" s="480">
        <f>'TABLE-4'!L9</f>
        <v>4.429530201342282</v>
      </c>
      <c r="K8" s="98"/>
      <c r="N8" s="471"/>
      <c r="O8" s="471"/>
      <c r="P8" s="471"/>
      <c r="Q8" s="471"/>
      <c r="R8" s="471"/>
      <c r="S8" s="471"/>
      <c r="T8" s="471"/>
      <c r="V8" s="481"/>
      <c r="Y8" s="471"/>
      <c r="Z8" s="471"/>
    </row>
    <row r="9" spans="1:26" ht="12.75">
      <c r="A9" s="236">
        <v>3</v>
      </c>
      <c r="B9" s="264" t="s">
        <v>9</v>
      </c>
      <c r="C9" s="479">
        <f>'TABLE-3'!J9</f>
        <v>52.64627507397538</v>
      </c>
      <c r="D9" s="479">
        <f>'TABLE-2B'!J9</f>
        <v>52.64627507397538</v>
      </c>
      <c r="E9" s="480">
        <f>'TABLE-4'!N10</f>
        <v>76.6743677646942</v>
      </c>
      <c r="F9" s="480">
        <f>('TABLE-4'!D10*100)/('TABLE-4'!M10)</f>
        <v>22.40398469717295</v>
      </c>
      <c r="G9" s="479">
        <f>'TABLE-4'!K10</f>
        <v>12.498757887414916</v>
      </c>
      <c r="H9" s="480">
        <f>'TABLE-4'!L10</f>
        <v>16.301090249315557</v>
      </c>
      <c r="K9" s="98"/>
      <c r="N9" s="471"/>
      <c r="O9" s="471"/>
      <c r="P9" s="471"/>
      <c r="Q9" s="471"/>
      <c r="R9" s="471"/>
      <c r="S9" s="471"/>
      <c r="T9" s="471"/>
      <c r="V9" s="481"/>
      <c r="Y9" s="471"/>
      <c r="Z9" s="471"/>
    </row>
    <row r="10" spans="1:26" ht="12.75">
      <c r="A10" s="236">
        <v>4</v>
      </c>
      <c r="B10" s="264" t="s">
        <v>10</v>
      </c>
      <c r="C10" s="479">
        <f>'TABLE-3'!J10</f>
        <v>73.00599108799011</v>
      </c>
      <c r="D10" s="479">
        <f>'TABLE-2B'!J10</f>
        <v>73.00599108799011</v>
      </c>
      <c r="E10" s="480">
        <f>'TABLE-4'!N11</f>
        <v>76.21225395712867</v>
      </c>
      <c r="F10" s="480">
        <f>('TABLE-4'!D11*100)/('TABLE-4'!M11)</f>
        <v>52.72083016957732</v>
      </c>
      <c r="G10" s="479">
        <f>'TABLE-4'!K11</f>
        <v>13.163950703814029</v>
      </c>
      <c r="H10" s="480">
        <f>'TABLE-4'!L11</f>
        <v>17.272748174091642</v>
      </c>
      <c r="K10" s="98"/>
      <c r="N10" s="471"/>
      <c r="O10" s="471"/>
      <c r="P10" s="471"/>
      <c r="Q10" s="471"/>
      <c r="R10" s="471"/>
      <c r="S10" s="471"/>
      <c r="T10" s="471"/>
      <c r="V10" s="481"/>
      <c r="Y10" s="471"/>
      <c r="Z10" s="471"/>
    </row>
    <row r="11" spans="1:26" ht="12.75">
      <c r="A11" s="236">
        <v>5</v>
      </c>
      <c r="B11" s="264" t="s">
        <v>11</v>
      </c>
      <c r="C11" s="479">
        <f>'TABLE-3'!J11</f>
        <v>44.566897463153964</v>
      </c>
      <c r="D11" s="479">
        <f>'TABLE-2B'!J11</f>
        <v>44.535294624644465</v>
      </c>
      <c r="E11" s="480">
        <f>'TABLE-4'!N12</f>
        <v>79.44572748267899</v>
      </c>
      <c r="F11" s="480">
        <f>('TABLE-4'!D12*100)/('TABLE-4'!M12)</f>
        <v>41.55495632652534</v>
      </c>
      <c r="G11" s="479">
        <f>'TABLE-4'!K12</f>
        <v>22.459906847123488</v>
      </c>
      <c r="H11" s="480">
        <f>'TABLE-4'!L12</f>
        <v>28.270754839547873</v>
      </c>
      <c r="K11" s="98"/>
      <c r="N11" s="471"/>
      <c r="O11" s="471"/>
      <c r="P11" s="471"/>
      <c r="Q11" s="471"/>
      <c r="R11" s="471"/>
      <c r="S11" s="471"/>
      <c r="T11" s="471"/>
      <c r="V11" s="481"/>
      <c r="Y11" s="471"/>
      <c r="Z11" s="471"/>
    </row>
    <row r="12" spans="1:26" ht="12.75">
      <c r="A12" s="236">
        <v>6</v>
      </c>
      <c r="B12" s="264" t="s">
        <v>12</v>
      </c>
      <c r="C12" s="479">
        <f>'TABLE-3'!J12</f>
        <v>52.52858136642471</v>
      </c>
      <c r="D12" s="479">
        <f>'TABLE-2B'!J12</f>
        <v>52.52858136642471</v>
      </c>
      <c r="E12" s="480">
        <f>'TABLE-4'!N13</f>
        <v>47.40284930773861</v>
      </c>
      <c r="F12" s="480">
        <f>('TABLE-4'!D13*100)/('TABLE-4'!M13)</f>
        <v>14.570262858671661</v>
      </c>
      <c r="G12" s="479">
        <f>'TABLE-4'!K13</f>
        <v>7.904487994114106</v>
      </c>
      <c r="H12" s="480">
        <f>'TABLE-4'!L13</f>
        <v>16.67513263348008</v>
      </c>
      <c r="K12" s="98"/>
      <c r="N12" s="471"/>
      <c r="O12" s="471"/>
      <c r="P12" s="471"/>
      <c r="Q12" s="471"/>
      <c r="R12" s="471"/>
      <c r="S12" s="471"/>
      <c r="T12" s="471"/>
      <c r="V12" s="481"/>
      <c r="Y12" s="471"/>
      <c r="Z12" s="471"/>
    </row>
    <row r="13" spans="1:26" ht="12.75">
      <c r="A13" s="236">
        <v>7</v>
      </c>
      <c r="B13" s="264" t="s">
        <v>13</v>
      </c>
      <c r="C13" s="479">
        <f>'TABLE-3'!J13</f>
        <v>74.76628336610466</v>
      </c>
      <c r="D13" s="479">
        <f>'TABLE-2B'!J13</f>
        <v>59.19415455468585</v>
      </c>
      <c r="E13" s="480">
        <f>'TABLE-4'!N14</f>
        <v>72.87268219148744</v>
      </c>
      <c r="F13" s="480">
        <f>('TABLE-4'!D14*100)/('TABLE-4'!M14)</f>
        <v>46.53615822466782</v>
      </c>
      <c r="G13" s="479">
        <f>'TABLE-4'!K14</f>
        <v>14.79134574989497</v>
      </c>
      <c r="H13" s="480">
        <f>'TABLE-4'!L14</f>
        <v>20.29751795196419</v>
      </c>
      <c r="K13" s="98"/>
      <c r="N13" s="471"/>
      <c r="O13" s="471"/>
      <c r="P13" s="471"/>
      <c r="Q13" s="471"/>
      <c r="R13" s="471"/>
      <c r="S13" s="471"/>
      <c r="T13" s="471"/>
      <c r="V13" s="481"/>
      <c r="Y13" s="471"/>
      <c r="Z13" s="471"/>
    </row>
    <row r="14" spans="1:26" ht="12.75">
      <c r="A14" s="236">
        <v>8</v>
      </c>
      <c r="B14" s="264" t="s">
        <v>162</v>
      </c>
      <c r="C14" s="479">
        <f>'TABLE-3'!J14</f>
        <v>15.756537172758847</v>
      </c>
      <c r="D14" s="479">
        <f>'TABLE-2B'!J14</f>
        <v>15.756537172758847</v>
      </c>
      <c r="E14" s="480">
        <f>'TABLE-4'!N15</f>
        <v>68.70266071081763</v>
      </c>
      <c r="F14" s="480">
        <f>('TABLE-4'!D15*100)/('TABLE-4'!M15)</f>
        <v>9.419304719362984</v>
      </c>
      <c r="G14" s="479">
        <f>'TABLE-4'!K15</f>
        <v>11.93435618566712</v>
      </c>
      <c r="H14" s="480">
        <f>'TABLE-4'!L15</f>
        <v>17.37102473498233</v>
      </c>
      <c r="K14" s="98"/>
      <c r="N14" s="471"/>
      <c r="O14" s="471"/>
      <c r="P14" s="471"/>
      <c r="Q14" s="471"/>
      <c r="R14" s="471"/>
      <c r="S14" s="471"/>
      <c r="T14" s="471"/>
      <c r="V14" s="481"/>
      <c r="Y14" s="471"/>
      <c r="Z14" s="471"/>
    </row>
    <row r="15" spans="1:26" ht="12.75">
      <c r="A15" s="236">
        <v>9</v>
      </c>
      <c r="B15" s="264" t="s">
        <v>14</v>
      </c>
      <c r="C15" s="479">
        <f>'TABLE-3'!J15</f>
        <v>84.53093607071102</v>
      </c>
      <c r="D15" s="479">
        <f>'TABLE-2B'!J15</f>
        <v>84.5137931743844</v>
      </c>
      <c r="E15" s="480">
        <f>'TABLE-4'!N16</f>
        <v>42.900956600053554</v>
      </c>
      <c r="F15" s="480">
        <f>('TABLE-4'!D16*100)/('TABLE-4'!M16)</f>
        <v>17.609879187660752</v>
      </c>
      <c r="G15" s="479">
        <f>'TABLE-4'!K16</f>
        <v>2.60772906879569</v>
      </c>
      <c r="H15" s="480">
        <f>'TABLE-4'!L16</f>
        <v>6.078486997635934</v>
      </c>
      <c r="K15" s="98"/>
      <c r="N15" s="471"/>
      <c r="O15" s="471"/>
      <c r="P15" s="471"/>
      <c r="Q15" s="471"/>
      <c r="R15" s="471"/>
      <c r="S15" s="471"/>
      <c r="T15" s="471"/>
      <c r="V15" s="481"/>
      <c r="Y15" s="471"/>
      <c r="Z15" s="471"/>
    </row>
    <row r="16" spans="1:26" ht="12.75">
      <c r="A16" s="236">
        <v>10</v>
      </c>
      <c r="B16" s="264" t="s">
        <v>15</v>
      </c>
      <c r="C16" s="479">
        <f>'TABLE-3'!J16</f>
        <v>34.64695411392405</v>
      </c>
      <c r="D16" s="479">
        <f>'TABLE-2B'!J16</f>
        <v>34.39972310126582</v>
      </c>
      <c r="E16" s="480">
        <f>'TABLE-4'!N17</f>
        <v>65.53111973551819</v>
      </c>
      <c r="F16" s="480">
        <f>('TABLE-4'!D17*100)/('TABLE-4'!M17)</f>
        <v>14.129653586315941</v>
      </c>
      <c r="G16" s="479">
        <f>'TABLE-4'!K17</f>
        <v>12.03104786545925</v>
      </c>
      <c r="H16" s="480">
        <f>'TABLE-4'!L17</f>
        <v>18.359289317832857</v>
      </c>
      <c r="K16" s="98"/>
      <c r="N16" s="471"/>
      <c r="O16" s="471"/>
      <c r="P16" s="471"/>
      <c r="Q16" s="471"/>
      <c r="R16" s="471"/>
      <c r="S16" s="471"/>
      <c r="T16" s="471"/>
      <c r="V16" s="481"/>
      <c r="Y16" s="471"/>
      <c r="Z16" s="471"/>
    </row>
    <row r="17" spans="1:26" ht="12.75">
      <c r="A17" s="236">
        <v>11</v>
      </c>
      <c r="B17" s="264" t="s">
        <v>16</v>
      </c>
      <c r="C17" s="479">
        <f>'TABLE-3'!J17</f>
        <v>38.455914607398746</v>
      </c>
      <c r="D17" s="479">
        <f>'TABLE-2B'!J17</f>
        <v>35.72159672466735</v>
      </c>
      <c r="E17" s="480">
        <f>'TABLE-4'!N18</f>
        <v>30.994678673761765</v>
      </c>
      <c r="F17" s="480">
        <f>('TABLE-4'!D18*100)/('TABLE-4'!M18)</f>
        <v>3.675808432255424</v>
      </c>
      <c r="G17" s="479">
        <f>'TABLE-4'!K18</f>
        <v>5.763405648792468</v>
      </c>
      <c r="H17" s="480">
        <f>'TABLE-4'!L18</f>
        <v>18.594823032223985</v>
      </c>
      <c r="K17" s="98"/>
      <c r="N17" s="471"/>
      <c r="O17" s="471"/>
      <c r="P17" s="471"/>
      <c r="Q17" s="471"/>
      <c r="R17" s="471"/>
      <c r="S17" s="471"/>
      <c r="T17" s="471"/>
      <c r="V17" s="481"/>
      <c r="Y17" s="471"/>
      <c r="Z17" s="471"/>
    </row>
    <row r="18" spans="1:26" ht="12.75">
      <c r="A18" s="236">
        <v>12</v>
      </c>
      <c r="B18" s="264" t="s">
        <v>17</v>
      </c>
      <c r="C18" s="479">
        <f>'TABLE-3'!J18</f>
        <v>43.26734592766517</v>
      </c>
      <c r="D18" s="479">
        <f>'TABLE-2B'!J18</f>
        <v>43.04935053744911</v>
      </c>
      <c r="E18" s="480">
        <f>'TABLE-4'!N19</f>
        <v>51.49113326127858</v>
      </c>
      <c r="F18" s="480">
        <f>('TABLE-4'!D19*100)/('TABLE-4'!M19)</f>
        <v>22.77630999559665</v>
      </c>
      <c r="G18" s="479">
        <f>'TABLE-4'!K19</f>
        <v>8.03510668107762</v>
      </c>
      <c r="H18" s="480">
        <f>'TABLE-4'!L19</f>
        <v>15.604835574904765</v>
      </c>
      <c r="K18" s="98"/>
      <c r="N18" s="471"/>
      <c r="O18" s="471"/>
      <c r="P18" s="471"/>
      <c r="Q18" s="471"/>
      <c r="R18" s="471"/>
      <c r="S18" s="471"/>
      <c r="T18" s="471"/>
      <c r="V18" s="481"/>
      <c r="Y18" s="471"/>
      <c r="Z18" s="471"/>
    </row>
    <row r="19" spans="1:26" ht="12.75">
      <c r="A19" s="236">
        <v>13</v>
      </c>
      <c r="B19" s="264" t="s">
        <v>164</v>
      </c>
      <c r="C19" s="479">
        <f>'TABLE-3'!J19</f>
        <v>46.98284015673558</v>
      </c>
      <c r="D19" s="479">
        <f>'TABLE-2B'!J19</f>
        <v>40.52830698554249</v>
      </c>
      <c r="E19" s="480">
        <f>'TABLE-4'!N20</f>
        <v>63.273878979829966</v>
      </c>
      <c r="F19" s="480">
        <f>('TABLE-4'!D20*100)/('TABLE-4'!M20)</f>
        <v>15.152525420903483</v>
      </c>
      <c r="G19" s="479">
        <f>'TABLE-4'!K20</f>
        <v>7.501250208368061</v>
      </c>
      <c r="H19" s="480">
        <f>'TABLE-4'!L20</f>
        <v>11.855208388218557</v>
      </c>
      <c r="K19" s="98"/>
      <c r="N19" s="471"/>
      <c r="O19" s="471"/>
      <c r="P19" s="471"/>
      <c r="Q19" s="471"/>
      <c r="R19" s="471"/>
      <c r="S19" s="471"/>
      <c r="T19" s="471"/>
      <c r="V19" s="481"/>
      <c r="Y19" s="471"/>
      <c r="Z19" s="471"/>
    </row>
    <row r="20" spans="1:26" ht="12.75">
      <c r="A20" s="236">
        <v>14</v>
      </c>
      <c r="B20" s="264" t="s">
        <v>77</v>
      </c>
      <c r="C20" s="479">
        <f>'TABLE-3'!J20</f>
        <v>65.80401264024093</v>
      </c>
      <c r="D20" s="479">
        <f>'TABLE-2B'!J20</f>
        <v>60.051748637356575</v>
      </c>
      <c r="E20" s="480">
        <f>'TABLE-4'!N21</f>
        <v>58.90075931485078</v>
      </c>
      <c r="F20" s="480">
        <f>('TABLE-4'!D21*100)/('TABLE-4'!M21)</f>
        <v>32.604332214962625</v>
      </c>
      <c r="G20" s="479">
        <f>'TABLE-4'!K21</f>
        <v>26.480075342868915</v>
      </c>
      <c r="H20" s="480">
        <f>'TABLE-4'!L21</f>
        <v>44.95710352615511</v>
      </c>
      <c r="K20" s="98"/>
      <c r="N20" s="471"/>
      <c r="O20" s="471"/>
      <c r="P20" s="471"/>
      <c r="Q20" s="471"/>
      <c r="R20" s="471"/>
      <c r="S20" s="471"/>
      <c r="T20" s="471"/>
      <c r="V20" s="481"/>
      <c r="Y20" s="471"/>
      <c r="Z20" s="471"/>
    </row>
    <row r="21" spans="1:26" ht="12.75">
      <c r="A21" s="236">
        <v>15</v>
      </c>
      <c r="B21" s="264" t="s">
        <v>105</v>
      </c>
      <c r="C21" s="479">
        <f>'TABLE-3'!J21</f>
        <v>41.71351006068349</v>
      </c>
      <c r="D21" s="479">
        <f>'TABLE-2B'!J21</f>
        <v>32.21414883423826</v>
      </c>
      <c r="E21" s="480">
        <f>'TABLE-4'!N22</f>
        <v>59.263849299789314</v>
      </c>
      <c r="F21" s="480">
        <f>('TABLE-4'!D22*100)/('TABLE-4'!M22)</f>
        <v>10.487049200644442</v>
      </c>
      <c r="G21" s="479">
        <f>'TABLE-4'!K22</f>
        <v>13.146610484570578</v>
      </c>
      <c r="H21" s="480">
        <f>'TABLE-4'!L22</f>
        <v>22.1831869510665</v>
      </c>
      <c r="K21" s="98"/>
      <c r="N21" s="471"/>
      <c r="O21" s="471"/>
      <c r="P21" s="471"/>
      <c r="Q21" s="471"/>
      <c r="R21" s="471"/>
      <c r="S21" s="471"/>
      <c r="T21" s="471"/>
      <c r="V21" s="481"/>
      <c r="Y21" s="471"/>
      <c r="Z21" s="471"/>
    </row>
    <row r="22" spans="1:26" ht="12.75">
      <c r="A22" s="236">
        <v>16</v>
      </c>
      <c r="B22" s="264" t="s">
        <v>20</v>
      </c>
      <c r="C22" s="479">
        <f>'TABLE-3'!J22</f>
        <v>66.8404311715851</v>
      </c>
      <c r="D22" s="479">
        <f>'TABLE-2B'!J22</f>
        <v>66.82093217395543</v>
      </c>
      <c r="E22" s="480">
        <f>'TABLE-4'!N23</f>
        <v>78.8196296752249</v>
      </c>
      <c r="F22" s="480">
        <f>('TABLE-4'!D23*100)/('TABLE-4'!M23)</f>
        <v>41.32390423169692</v>
      </c>
      <c r="G22" s="479">
        <f>'TABLE-4'!K23</f>
        <v>13.628881867217457</v>
      </c>
      <c r="H22" s="480">
        <f>'TABLE-4'!L23</f>
        <v>17.291227988985817</v>
      </c>
      <c r="K22" s="98"/>
      <c r="N22" s="471"/>
      <c r="O22" s="471"/>
      <c r="P22" s="471"/>
      <c r="Q22" s="471"/>
      <c r="R22" s="471"/>
      <c r="S22" s="471"/>
      <c r="T22" s="471"/>
      <c r="V22" s="481"/>
      <c r="Y22" s="471"/>
      <c r="Z22" s="471"/>
    </row>
    <row r="23" spans="1:26" ht="12.75">
      <c r="A23" s="236">
        <v>17</v>
      </c>
      <c r="B23" s="264" t="s">
        <v>21</v>
      </c>
      <c r="C23" s="479">
        <f>'TABLE-3'!J23</f>
        <v>31.76299063717338</v>
      </c>
      <c r="D23" s="479">
        <f>'TABLE-2B'!J23</f>
        <v>31.76299063717338</v>
      </c>
      <c r="E23" s="480">
        <f>'TABLE-4'!N24</f>
        <v>74.06077686041066</v>
      </c>
      <c r="F23" s="480">
        <f>('TABLE-4'!D24*100)/('TABLE-4'!M24)</f>
        <v>41.344381114706515</v>
      </c>
      <c r="G23" s="479">
        <f>'TABLE-4'!K24</f>
        <v>13.62437824588345</v>
      </c>
      <c r="H23" s="480">
        <f>'TABLE-4'!L24</f>
        <v>18.396212979999657</v>
      </c>
      <c r="K23" s="98"/>
      <c r="N23" s="471"/>
      <c r="O23" s="471"/>
      <c r="P23" s="471"/>
      <c r="Q23" s="471"/>
      <c r="R23" s="471"/>
      <c r="S23" s="471"/>
      <c r="T23" s="471"/>
      <c r="V23" s="481"/>
      <c r="Y23" s="471"/>
      <c r="Z23" s="471"/>
    </row>
    <row r="24" spans="1:26" ht="12.75">
      <c r="A24" s="236">
        <v>18</v>
      </c>
      <c r="B24" s="264" t="s">
        <v>19</v>
      </c>
      <c r="C24" s="479">
        <f>'TABLE-3'!J24</f>
        <v>93.63894438019136</v>
      </c>
      <c r="D24" s="479">
        <f>'TABLE-2B'!J24</f>
        <v>93.63894438019136</v>
      </c>
      <c r="E24" s="480">
        <f>'TABLE-4'!N25</f>
        <v>36.458567258028296</v>
      </c>
      <c r="F24" s="480">
        <f>('TABLE-4'!D25*100)/('TABLE-4'!M25)</f>
        <v>13.844599146642713</v>
      </c>
      <c r="G24" s="479">
        <f>'TABLE-4'!K25</f>
        <v>2.3804176959353245</v>
      </c>
      <c r="H24" s="480">
        <f>'TABLE-4'!L25</f>
        <v>6.529103788112104</v>
      </c>
      <c r="K24" s="98"/>
      <c r="N24" s="471"/>
      <c r="O24" s="471"/>
      <c r="P24" s="471"/>
      <c r="Q24" s="471"/>
      <c r="R24" s="471"/>
      <c r="S24" s="471"/>
      <c r="T24" s="471"/>
      <c r="V24" s="481"/>
      <c r="Y24" s="471"/>
      <c r="Z24" s="471"/>
    </row>
    <row r="25" spans="1:26" ht="12.75">
      <c r="A25" s="236">
        <v>19</v>
      </c>
      <c r="B25" s="264" t="s">
        <v>124</v>
      </c>
      <c r="C25" s="479">
        <f>'TABLE-3'!J25</f>
        <v>43.505050505050505</v>
      </c>
      <c r="D25" s="479">
        <f>'TABLE-2B'!J25</f>
        <v>43.37373737373738</v>
      </c>
      <c r="E25" s="480">
        <f>'TABLE-4'!N26</f>
        <v>71.30104021114734</v>
      </c>
      <c r="F25" s="480">
        <f>('TABLE-4'!D26*100)/('TABLE-4'!M26)</f>
        <v>12.009004812917249</v>
      </c>
      <c r="G25" s="479">
        <f>'TABLE-4'!K26</f>
        <v>12.109920819748487</v>
      </c>
      <c r="H25" s="480">
        <f>'TABLE-4'!L26</f>
        <v>16.98421339139902</v>
      </c>
      <c r="K25" s="98"/>
      <c r="N25" s="471"/>
      <c r="O25" s="471"/>
      <c r="P25" s="471"/>
      <c r="Q25" s="471"/>
      <c r="R25" s="471"/>
      <c r="S25" s="471"/>
      <c r="T25" s="471"/>
      <c r="V25" s="481"/>
      <c r="Y25" s="471"/>
      <c r="Z25" s="471"/>
    </row>
    <row r="26" spans="1:26" ht="12.75">
      <c r="A26" s="236"/>
      <c r="B26" s="412" t="s">
        <v>224</v>
      </c>
      <c r="C26" s="482">
        <f>'TABLE-3'!J26</f>
        <v>57.46701316856174</v>
      </c>
      <c r="D26" s="479">
        <f>'TABLE-2B'!J26</f>
        <v>53.798224046933576</v>
      </c>
      <c r="E26" s="482">
        <f>'TABLE-4'!N27</f>
        <v>68.90106542850643</v>
      </c>
      <c r="F26" s="482">
        <f>('TABLE-4'!D27*100)/('TABLE-4'!M27)</f>
        <v>38.33533157308618</v>
      </c>
      <c r="G26" s="482">
        <f>'TABLE-4'!K27</f>
        <v>14.898673528038223</v>
      </c>
      <c r="H26" s="482">
        <f>'TABLE-4'!L27</f>
        <v>21.62328468417877</v>
      </c>
      <c r="K26" s="98"/>
      <c r="N26" s="471"/>
      <c r="O26" s="471"/>
      <c r="P26" s="471"/>
      <c r="Q26" s="471"/>
      <c r="R26" s="471"/>
      <c r="S26" s="471"/>
      <c r="T26" s="471"/>
      <c r="V26" s="481"/>
      <c r="Y26" s="471"/>
      <c r="Z26" s="471"/>
    </row>
    <row r="27" spans="1:26" ht="12.75">
      <c r="A27" s="54">
        <v>20</v>
      </c>
      <c r="B27" s="264" t="s">
        <v>23</v>
      </c>
      <c r="C27" s="479">
        <f>'TABLE-3'!J27</f>
        <v>161.5559186637618</v>
      </c>
      <c r="D27" s="479">
        <f>'TABLE-2B'!J27</f>
        <v>161.5559186637618</v>
      </c>
      <c r="E27" s="480">
        <f>'TABLE-4'!N28</f>
        <v>14.553014553014554</v>
      </c>
      <c r="F27" s="480">
        <f>('TABLE-4'!D28*100)/('TABLE-4'!M28)</f>
        <v>1.9272911164803057</v>
      </c>
      <c r="G27" s="479">
        <f>'TABLE-4'!K28</f>
        <v>0.19666235882452096</v>
      </c>
      <c r="H27" s="480">
        <f>'TABLE-4'!L28</f>
        <v>1.3513513513513513</v>
      </c>
      <c r="K27" s="98"/>
      <c r="N27" s="471"/>
      <c r="O27" s="471"/>
      <c r="P27" s="471"/>
      <c r="Q27" s="471"/>
      <c r="R27" s="471"/>
      <c r="S27" s="471"/>
      <c r="T27" s="471"/>
      <c r="V27" s="481"/>
      <c r="Y27" s="471"/>
      <c r="Z27" s="471"/>
    </row>
    <row r="28" spans="1:26" ht="12.75">
      <c r="A28" s="54">
        <v>21</v>
      </c>
      <c r="B28" s="264" t="s">
        <v>269</v>
      </c>
      <c r="C28" s="479">
        <f>'TABLE-3'!J28</f>
        <v>499.3980532786885</v>
      </c>
      <c r="D28" s="479">
        <f>'TABLE-2B'!J28</f>
        <v>499.3980532786885</v>
      </c>
      <c r="E28" s="480">
        <f>'TABLE-4'!N29</f>
        <v>7.2295027312594575</v>
      </c>
      <c r="F28" s="480">
        <f>('TABLE-4'!D29*100)/('TABLE-4'!M29)</f>
        <v>0.025645628702587644</v>
      </c>
      <c r="G28" s="479">
        <f>'TABLE-4'!K29</f>
        <v>0</v>
      </c>
      <c r="H28" s="480">
        <f>'TABLE-4'!L29</f>
        <v>0</v>
      </c>
      <c r="K28" s="98"/>
      <c r="N28" s="471"/>
      <c r="O28" s="471"/>
      <c r="P28" s="471"/>
      <c r="Q28" s="471"/>
      <c r="R28" s="471"/>
      <c r="S28" s="471"/>
      <c r="T28" s="471"/>
      <c r="V28" s="481"/>
      <c r="Y28" s="471"/>
      <c r="Z28" s="471"/>
    </row>
    <row r="29" spans="1:26" ht="12.75">
      <c r="A29" s="54">
        <v>22</v>
      </c>
      <c r="B29" s="264" t="s">
        <v>169</v>
      </c>
      <c r="C29" s="479">
        <f>'TABLE-3'!J29</f>
        <v>168.01007556675063</v>
      </c>
      <c r="D29" s="479">
        <f>'TABLE-2B'!J29</f>
        <v>168.01007556675063</v>
      </c>
      <c r="E29" s="480">
        <f>'TABLE-4'!N30</f>
        <v>20.87365408204988</v>
      </c>
      <c r="F29" s="480">
        <f>('TABLE-4'!D30*100)/('TABLE-4'!M30)</f>
        <v>0</v>
      </c>
      <c r="G29" s="479">
        <f>'TABLE-4'!K30</f>
        <v>1.9251737767479897</v>
      </c>
      <c r="H29" s="480">
        <f>'TABLE-4'!L30</f>
        <v>9.222984002611819</v>
      </c>
      <c r="K29" s="98"/>
      <c r="N29" s="471"/>
      <c r="O29" s="471"/>
      <c r="P29" s="471"/>
      <c r="Q29" s="471"/>
      <c r="R29" s="471"/>
      <c r="S29" s="471"/>
      <c r="T29" s="471"/>
      <c r="V29" s="481"/>
      <c r="Y29" s="471"/>
      <c r="Z29" s="471"/>
    </row>
    <row r="30" spans="1:26" ht="12.75">
      <c r="A30" s="54">
        <v>23</v>
      </c>
      <c r="B30" s="264" t="s">
        <v>22</v>
      </c>
      <c r="C30" s="479">
        <f>'TABLE-3'!J30</f>
        <v>518.5150041513463</v>
      </c>
      <c r="D30" s="479">
        <f>'TABLE-2B'!J30</f>
        <v>518.5150041513463</v>
      </c>
      <c r="E30" s="480">
        <f>'TABLE-4'!N31</f>
        <v>6.370665202671791</v>
      </c>
      <c r="F30" s="480">
        <f>('TABLE-4'!D31*100)/('TABLE-4'!M31)</f>
        <v>0.018299935950224173</v>
      </c>
      <c r="G30" s="479">
        <f>'TABLE-4'!K31</f>
        <v>0</v>
      </c>
      <c r="H30" s="480">
        <f>'TABLE-4'!L31</f>
        <v>0</v>
      </c>
      <c r="K30" s="98"/>
      <c r="N30" s="471"/>
      <c r="O30" s="471"/>
      <c r="P30" s="471"/>
      <c r="Q30" s="471"/>
      <c r="R30" s="471"/>
      <c r="S30" s="471"/>
      <c r="T30" s="471"/>
      <c r="V30" s="481"/>
      <c r="Y30" s="471"/>
      <c r="Z30" s="471"/>
    </row>
    <row r="31" spans="1:26" ht="12.75">
      <c r="A31" s="54">
        <v>24</v>
      </c>
      <c r="B31" s="264" t="s">
        <v>141</v>
      </c>
      <c r="C31" s="479">
        <f>'TABLE-3'!J31</f>
        <v>84.43901644683277</v>
      </c>
      <c r="D31" s="479">
        <f>'TABLE-2B'!J31</f>
        <v>84.43901644683277</v>
      </c>
      <c r="E31" s="480">
        <f>'TABLE-4'!N32</f>
        <v>20.364870598218072</v>
      </c>
      <c r="F31" s="480">
        <f>('TABLE-4'!D32*100)/('TABLE-4'!M32)</f>
        <v>2.4183283835383964</v>
      </c>
      <c r="G31" s="479">
        <f>'TABLE-4'!K32</f>
        <v>0.9333899024183283</v>
      </c>
      <c r="H31" s="480">
        <f>'TABLE-4'!L32</f>
        <v>4.583333333333333</v>
      </c>
      <c r="K31" s="98"/>
      <c r="N31" s="471"/>
      <c r="O31" s="471"/>
      <c r="P31" s="471"/>
      <c r="Q31" s="471"/>
      <c r="R31" s="471"/>
      <c r="S31" s="471"/>
      <c r="T31" s="471"/>
      <c r="V31" s="481"/>
      <c r="Y31" s="471"/>
      <c r="Z31" s="471"/>
    </row>
    <row r="32" spans="1:26" ht="12.75">
      <c r="A32" s="54">
        <v>25</v>
      </c>
      <c r="B32" s="264" t="s">
        <v>18</v>
      </c>
      <c r="C32" s="479">
        <f>'TABLE-3'!J32</f>
        <v>72.83747915906274</v>
      </c>
      <c r="D32" s="479">
        <f>'TABLE-2B'!J32</f>
        <v>69.57156831866746</v>
      </c>
      <c r="E32" s="480">
        <f>'TABLE-4'!N33</f>
        <v>48.07921324993109</v>
      </c>
      <c r="F32" s="480">
        <f>('TABLE-4'!D33*100)/('TABLE-4'!M33)</f>
        <v>24.8077742342839</v>
      </c>
      <c r="G32" s="479">
        <f>'TABLE-4'!K33</f>
        <v>13.616241429242287</v>
      </c>
      <c r="H32" s="480">
        <f>'TABLE-4'!L33</f>
        <v>28.320433112041</v>
      </c>
      <c r="K32" s="98"/>
      <c r="N32" s="471"/>
      <c r="O32" s="471"/>
      <c r="P32" s="471"/>
      <c r="Q32" s="471"/>
      <c r="R32" s="471"/>
      <c r="S32" s="471"/>
      <c r="T32" s="471"/>
      <c r="V32" s="481"/>
      <c r="Y32" s="471"/>
      <c r="Z32" s="471"/>
    </row>
    <row r="33" spans="1:26" ht="12.75">
      <c r="A33" s="54">
        <v>26</v>
      </c>
      <c r="B33" s="264" t="s">
        <v>104</v>
      </c>
      <c r="C33" s="479">
        <f>'TABLE-3'!J33</f>
        <v>49.79177803816417</v>
      </c>
      <c r="D33" s="479">
        <f>'TABLE-2B'!J33</f>
        <v>47.513102115042784</v>
      </c>
      <c r="E33" s="480">
        <f>'TABLE-4'!N34</f>
        <v>72.20883187337613</v>
      </c>
      <c r="F33" s="480">
        <f>('TABLE-4'!D34*100)/('TABLE-4'!M34)</f>
        <v>33.604879448763505</v>
      </c>
      <c r="G33" s="479">
        <f>'TABLE-4'!K34</f>
        <v>25.0257153959663</v>
      </c>
      <c r="H33" s="480">
        <f>'TABLE-4'!L34</f>
        <v>34.65741620062608</v>
      </c>
      <c r="K33" s="98"/>
      <c r="N33" s="471"/>
      <c r="O33" s="471"/>
      <c r="P33" s="471"/>
      <c r="Q33" s="471"/>
      <c r="R33" s="471"/>
      <c r="S33" s="471"/>
      <c r="T33" s="471"/>
      <c r="V33" s="481"/>
      <c r="Y33" s="471"/>
      <c r="Z33" s="471"/>
    </row>
    <row r="34" spans="1:26" ht="12.75">
      <c r="A34" s="236"/>
      <c r="B34" s="412" t="s">
        <v>226</v>
      </c>
      <c r="C34" s="482">
        <f>'TABLE-3'!J34</f>
        <v>67.27688118398177</v>
      </c>
      <c r="D34" s="479">
        <f>'TABLE-2B'!J34</f>
        <v>64.44709660243187</v>
      </c>
      <c r="E34" s="482">
        <f>'TABLE-4'!N35</f>
        <v>52.20598994177282</v>
      </c>
      <c r="F34" s="482">
        <f>('TABLE-4'!D35*100)/('TABLE-4'!M35)</f>
        <v>25.54396444368863</v>
      </c>
      <c r="G34" s="482">
        <f>'TABLE-4'!K35</f>
        <v>15.866809090313245</v>
      </c>
      <c r="H34" s="482">
        <f>'TABLE-4'!L35</f>
        <v>30.392698439412904</v>
      </c>
      <c r="K34" s="98"/>
      <c r="N34" s="471"/>
      <c r="O34" s="471"/>
      <c r="P34" s="471"/>
      <c r="Q34" s="471"/>
      <c r="R34" s="471"/>
      <c r="S34" s="471"/>
      <c r="T34" s="471"/>
      <c r="V34" s="481"/>
      <c r="Y34" s="471"/>
      <c r="Z34" s="471"/>
    </row>
    <row r="35" spans="1:26" ht="12.75">
      <c r="A35" s="265">
        <v>28</v>
      </c>
      <c r="B35" s="190" t="s">
        <v>163</v>
      </c>
      <c r="C35" s="479">
        <f>'TABLE-3'!J35</f>
        <v>13.156360810220042</v>
      </c>
      <c r="D35" s="479">
        <f>'TABLE-2B'!J35</f>
        <v>13.156360810220042</v>
      </c>
      <c r="E35" s="480">
        <f>'TABLE-4'!N36</f>
        <v>44.95107993354255</v>
      </c>
      <c r="F35" s="480">
        <f>('TABLE-4'!D36*100)/('TABLE-4'!M36)</f>
        <v>9.377884437880747</v>
      </c>
      <c r="G35" s="479">
        <f>'TABLE-4'!K36</f>
        <v>5.445818718848071</v>
      </c>
      <c r="H35" s="480">
        <f>'TABLE-4'!L36</f>
        <v>12.114989733059549</v>
      </c>
      <c r="K35" s="98"/>
      <c r="N35" s="471"/>
      <c r="O35" s="471"/>
      <c r="P35" s="471"/>
      <c r="Q35" s="471"/>
      <c r="R35" s="471"/>
      <c r="S35" s="471"/>
      <c r="T35" s="471"/>
      <c r="V35" s="481"/>
      <c r="Y35" s="471"/>
      <c r="Z35" s="471"/>
    </row>
    <row r="36" spans="1:26" ht="12.75">
      <c r="A36" s="265">
        <v>29</v>
      </c>
      <c r="B36" s="190" t="s">
        <v>231</v>
      </c>
      <c r="C36" s="479">
        <f>'TABLE-3'!J36</f>
        <v>149.95825394446706</v>
      </c>
      <c r="D36" s="479">
        <f>'TABLE-2B'!J36</f>
        <v>149.95825394446706</v>
      </c>
      <c r="E36" s="480">
        <f>'TABLE-4'!N37</f>
        <v>25.19022941739118</v>
      </c>
      <c r="F36" s="480">
        <f>('TABLE-4'!D37*100)/('TABLE-4'!M37)</f>
        <v>8.42101255823471</v>
      </c>
      <c r="G36" s="479">
        <f>'TABLE-4'!K37</f>
        <v>0.0670978057589904</v>
      </c>
      <c r="H36" s="480">
        <f>'TABLE-4'!L37</f>
        <v>0.2663644091810711</v>
      </c>
      <c r="K36" s="98"/>
      <c r="N36" s="471"/>
      <c r="O36" s="471"/>
      <c r="P36" s="471"/>
      <c r="Q36" s="471"/>
      <c r="R36" s="471"/>
      <c r="S36" s="471"/>
      <c r="T36" s="471"/>
      <c r="V36" s="481"/>
      <c r="Y36" s="471"/>
      <c r="Z36" s="471"/>
    </row>
    <row r="37" spans="1:26" ht="12.75">
      <c r="A37" s="265">
        <v>30</v>
      </c>
      <c r="B37" s="190" t="s">
        <v>218</v>
      </c>
      <c r="C37" s="479">
        <f>'TABLE-3'!J37</f>
        <v>261.3054971758833</v>
      </c>
      <c r="D37" s="479">
        <f>'TABLE-2B'!J37</f>
        <v>261.3054971758833</v>
      </c>
      <c r="E37" s="480">
        <f>'TABLE-4'!N38</f>
        <v>50.138709545667325</v>
      </c>
      <c r="F37" s="480">
        <f>('TABLE-4'!D38*100)/('TABLE-4'!M38)</f>
        <v>25.690955760609004</v>
      </c>
      <c r="G37" s="479">
        <f>'TABLE-4'!K38</f>
        <v>1.4986286134386457</v>
      </c>
      <c r="H37" s="480">
        <f>'TABLE-4'!L38</f>
        <v>2.988965266594397</v>
      </c>
      <c r="K37" s="98"/>
      <c r="N37" s="471"/>
      <c r="O37" s="471"/>
      <c r="P37" s="471"/>
      <c r="Q37" s="471"/>
      <c r="R37" s="471"/>
      <c r="S37" s="471"/>
      <c r="T37" s="471"/>
      <c r="V37" s="481"/>
      <c r="Y37" s="471"/>
      <c r="Z37" s="471"/>
    </row>
    <row r="38" spans="1:26" ht="12.75">
      <c r="A38" s="265">
        <v>31</v>
      </c>
      <c r="B38" s="190" t="s">
        <v>236</v>
      </c>
      <c r="C38" s="479">
        <f>'TABLE-3'!J38</f>
        <v>47.618928473133195</v>
      </c>
      <c r="D38" s="479">
        <f>'TABLE-2B'!J38</f>
        <v>47.618928473133195</v>
      </c>
      <c r="E38" s="480">
        <f>'TABLE-4'!N39</f>
        <v>49.355591752174924</v>
      </c>
      <c r="F38" s="480">
        <f>('TABLE-4'!D39*100)/('TABLE-4'!M39)</f>
        <v>26.049556007596287</v>
      </c>
      <c r="G38" s="479">
        <f>'TABLE-4'!K39</f>
        <v>0.161383544883391</v>
      </c>
      <c r="H38" s="480">
        <f>'TABLE-4'!L39</f>
        <v>0.32698127842075647</v>
      </c>
      <c r="K38" s="98"/>
      <c r="N38" s="471"/>
      <c r="O38" s="471"/>
      <c r="P38" s="471"/>
      <c r="Q38" s="471"/>
      <c r="R38" s="471"/>
      <c r="S38" s="471"/>
      <c r="T38" s="471"/>
      <c r="V38" s="481"/>
      <c r="Y38" s="471"/>
      <c r="Z38" s="471"/>
    </row>
    <row r="39" spans="1:26" ht="12.75">
      <c r="A39" s="265">
        <v>32</v>
      </c>
      <c r="B39" s="190" t="s">
        <v>275</v>
      </c>
      <c r="C39" s="479">
        <f>'TABLE-3'!J39</f>
        <v>62.12412822582314</v>
      </c>
      <c r="D39" s="479">
        <f>'TABLE-2B'!J39</f>
        <v>62.12412822582314</v>
      </c>
      <c r="E39" s="480">
        <f>'TABLE-4'!N40</f>
        <v>30.024317931976412</v>
      </c>
      <c r="F39" s="480">
        <f>('TABLE-4'!D40*100)/('TABLE-4'!M40)</f>
        <v>3.7209767147473265</v>
      </c>
      <c r="G39" s="479">
        <f>'TABLE-4'!K40</f>
        <v>0</v>
      </c>
      <c r="H39" s="480">
        <f>'TABLE-4'!L40</f>
        <v>0</v>
      </c>
      <c r="K39" s="98"/>
      <c r="N39" s="471"/>
      <c r="O39" s="471"/>
      <c r="P39" s="471"/>
      <c r="Q39" s="471"/>
      <c r="R39" s="471"/>
      <c r="S39" s="471"/>
      <c r="T39" s="471"/>
      <c r="V39" s="481"/>
      <c r="Y39" s="471"/>
      <c r="Z39" s="471"/>
    </row>
    <row r="40" spans="1:26" ht="12.75">
      <c r="A40" s="265">
        <v>33</v>
      </c>
      <c r="B40" s="190" t="s">
        <v>220</v>
      </c>
      <c r="C40" s="479">
        <f>'TABLE-3'!J40</f>
        <v>139.59537572254334</v>
      </c>
      <c r="D40" s="479">
        <f>'TABLE-2B'!J40</f>
        <v>139.59537572254334</v>
      </c>
      <c r="E40" s="480">
        <f>'TABLE-4'!N41</f>
        <v>76.9496204278813</v>
      </c>
      <c r="F40" s="480">
        <f>('TABLE-4'!D41*100)/('TABLE-4'!M41)</f>
        <v>8.350586611456176</v>
      </c>
      <c r="G40" s="479">
        <f>'TABLE-4'!K41</f>
        <v>0</v>
      </c>
      <c r="H40" s="480">
        <f>'TABLE-4'!L41</f>
        <v>0</v>
      </c>
      <c r="K40" s="98"/>
      <c r="N40" s="471"/>
      <c r="O40" s="471"/>
      <c r="P40" s="471"/>
      <c r="Q40" s="471"/>
      <c r="R40" s="471"/>
      <c r="S40" s="471"/>
      <c r="T40" s="471"/>
      <c r="V40" s="481"/>
      <c r="Y40" s="471"/>
      <c r="Z40" s="471"/>
    </row>
    <row r="41" spans="1:26" ht="12.75">
      <c r="A41" s="555">
        <v>34</v>
      </c>
      <c r="B41" s="405" t="s">
        <v>363</v>
      </c>
      <c r="C41" s="479">
        <f>'TABLE-3'!J41</f>
        <v>231.43781784558485</v>
      </c>
      <c r="D41" s="479">
        <f>'TABLE-2B'!J42</f>
        <v>38.1978021978022</v>
      </c>
      <c r="E41" s="480">
        <f>'TABLE-4'!N42</f>
        <v>13.383939272872553</v>
      </c>
      <c r="F41" s="480">
        <f>('TABLE-4'!D42*100)/('TABLE-4'!M42)</f>
        <v>0.03995205753096284</v>
      </c>
      <c r="G41" s="479">
        <f>'TABLE-4'!K42</f>
        <v>0</v>
      </c>
      <c r="H41" s="480">
        <f>'TABLE-4'!L42</f>
        <v>0</v>
      </c>
      <c r="K41" s="98"/>
      <c r="N41" s="471"/>
      <c r="O41" s="471"/>
      <c r="P41" s="471"/>
      <c r="Q41" s="471"/>
      <c r="R41" s="471"/>
      <c r="S41" s="471"/>
      <c r="T41" s="471"/>
      <c r="V41" s="481"/>
      <c r="Y41" s="471"/>
      <c r="Z41" s="471"/>
    </row>
    <row r="42" spans="1:26" ht="12.75">
      <c r="A42" s="265">
        <v>35</v>
      </c>
      <c r="B42" s="190" t="s">
        <v>242</v>
      </c>
      <c r="C42" s="479">
        <f>'TABLE-3'!J42</f>
        <v>38.1978021978022</v>
      </c>
      <c r="D42" s="479">
        <f>'TABLE-2B'!J42</f>
        <v>38.1978021978022</v>
      </c>
      <c r="E42" s="480">
        <f>'TABLE-4'!N43</f>
        <v>39.24050632911392</v>
      </c>
      <c r="F42" s="480">
        <f>('TABLE-4'!D43*100)/('TABLE-4'!M43)</f>
        <v>0</v>
      </c>
      <c r="G42" s="479">
        <f>'TABLE-4'!K43</f>
        <v>0</v>
      </c>
      <c r="H42" s="480">
        <f>'TABLE-4'!L43</f>
        <v>0</v>
      </c>
      <c r="K42" s="98"/>
      <c r="N42" s="471"/>
      <c r="O42" s="471"/>
      <c r="P42" s="471"/>
      <c r="Q42" s="471"/>
      <c r="R42" s="471"/>
      <c r="S42" s="471"/>
      <c r="T42" s="471"/>
      <c r="V42" s="481"/>
      <c r="Y42" s="471"/>
      <c r="Z42" s="471"/>
    </row>
    <row r="43" spans="1:26" ht="12.75">
      <c r="A43" s="265">
        <v>36</v>
      </c>
      <c r="B43" s="190" t="s">
        <v>256</v>
      </c>
      <c r="C43" s="479">
        <f>'TABLE-3'!J43</f>
        <v>60.21498014514584</v>
      </c>
      <c r="D43" s="479">
        <f>'TABLE-2B'!J43</f>
        <v>60.21498014514584</v>
      </c>
      <c r="E43" s="480">
        <f>'TABLE-4'!N44</f>
        <v>38.18078453666856</v>
      </c>
      <c r="F43" s="480">
        <f>('TABLE-4'!D44*100)/('TABLE-4'!M44)</f>
        <v>7.902217168845935</v>
      </c>
      <c r="G43" s="479">
        <f>'TABLE-4'!K44</f>
        <v>0.11370096645821488</v>
      </c>
      <c r="H43" s="480">
        <f>'TABLE-4'!L44</f>
        <v>0.29779630732578916</v>
      </c>
      <c r="K43" s="98"/>
      <c r="N43" s="471"/>
      <c r="O43" s="471"/>
      <c r="P43" s="471"/>
      <c r="Q43" s="471"/>
      <c r="R43" s="471"/>
      <c r="S43" s="471"/>
      <c r="T43" s="471"/>
      <c r="V43" s="481"/>
      <c r="Y43" s="471"/>
      <c r="Z43" s="471"/>
    </row>
    <row r="44" spans="1:26" ht="12.75">
      <c r="A44" s="265">
        <v>37</v>
      </c>
      <c r="B44" s="190" t="s">
        <v>24</v>
      </c>
      <c r="C44" s="479">
        <f>'TABLE-3'!J44</f>
        <v>21.837543794947443</v>
      </c>
      <c r="D44" s="479">
        <f>'TABLE-2B'!J44</f>
        <v>21.837543794947443</v>
      </c>
      <c r="E44" s="480">
        <f>'TABLE-4'!N45</f>
        <v>48.44838505383154</v>
      </c>
      <c r="F44" s="480">
        <f>('TABLE-4'!D45*100)/('TABLE-4'!M45)</f>
        <v>2.0899303356554784</v>
      </c>
      <c r="G44" s="479">
        <f>'TABLE-4'!K45</f>
        <v>0.8655267046653999</v>
      </c>
      <c r="H44" s="480">
        <f>'TABLE-4'!L45</f>
        <v>1.7864923747276689</v>
      </c>
      <c r="K44" s="98"/>
      <c r="N44" s="471"/>
      <c r="O44" s="471"/>
      <c r="P44" s="471"/>
      <c r="Q44" s="471"/>
      <c r="R44" s="471"/>
      <c r="S44" s="471"/>
      <c r="T44" s="471"/>
      <c r="V44" s="481"/>
      <c r="Y44" s="471"/>
      <c r="Z44" s="471"/>
    </row>
    <row r="45" spans="1:26" ht="12.75">
      <c r="A45" s="265">
        <v>38</v>
      </c>
      <c r="B45" s="190" t="s">
        <v>223</v>
      </c>
      <c r="C45" s="479">
        <f>'TABLE-3'!J45</f>
        <v>127.3036816343903</v>
      </c>
      <c r="D45" s="479">
        <f>'TABLE-2B'!J45</f>
        <v>127.3036816343903</v>
      </c>
      <c r="E45" s="480">
        <f>'TABLE-4'!N46</f>
        <v>17.803410230692077</v>
      </c>
      <c r="F45" s="480">
        <f>('TABLE-4'!D46*100)/('TABLE-4'!M46)</f>
        <v>17.118020728853228</v>
      </c>
      <c r="G45" s="479">
        <f>'TABLE-4'!K46</f>
        <v>0</v>
      </c>
      <c r="H45" s="480">
        <f>'TABLE-4'!L46</f>
        <v>0</v>
      </c>
      <c r="K45" s="98"/>
      <c r="N45" s="471"/>
      <c r="O45" s="471"/>
      <c r="P45" s="471"/>
      <c r="Q45" s="471"/>
      <c r="R45" s="471"/>
      <c r="S45" s="471"/>
      <c r="T45" s="471"/>
      <c r="V45" s="481"/>
      <c r="Y45" s="471"/>
      <c r="Z45" s="471"/>
    </row>
    <row r="46" spans="1:26" ht="12.75">
      <c r="A46" s="265">
        <v>39</v>
      </c>
      <c r="B46" s="190" t="s">
        <v>364</v>
      </c>
      <c r="C46" s="479">
        <f>'TABLE-3'!J46</f>
        <v>16.096053257251544</v>
      </c>
      <c r="D46" s="479">
        <f>'TABLE-2B'!J47</f>
        <v>64.4186594791607</v>
      </c>
      <c r="E46" s="480">
        <f>'TABLE-4'!N47</f>
        <v>19.35007385524372</v>
      </c>
      <c r="F46" s="480">
        <f>('TABLE-4'!D47*100)/('TABLE-4'!M47)</f>
        <v>1.9202363367799113</v>
      </c>
      <c r="G46" s="479">
        <f>'TABLE-4'!K47</f>
        <v>0</v>
      </c>
      <c r="H46" s="480">
        <f>'TABLE-4'!L47</f>
        <v>0</v>
      </c>
      <c r="K46" s="98"/>
      <c r="N46" s="471"/>
      <c r="O46" s="471"/>
      <c r="P46" s="471"/>
      <c r="Q46" s="471"/>
      <c r="R46" s="471"/>
      <c r="S46" s="471"/>
      <c r="T46" s="471"/>
      <c r="V46" s="481"/>
      <c r="Y46" s="471"/>
      <c r="Z46" s="471"/>
    </row>
    <row r="47" spans="1:26" ht="12.75">
      <c r="A47" s="265">
        <v>40</v>
      </c>
      <c r="B47" s="190" t="s">
        <v>366</v>
      </c>
      <c r="C47" s="479">
        <f>'TABLE-3'!J47</f>
        <v>64.4186594791607</v>
      </c>
      <c r="D47" s="479">
        <f>'TABLE-2B'!J47</f>
        <v>64.4186594791607</v>
      </c>
      <c r="E47" s="480">
        <f>'TABLE-4'!N48</f>
        <v>45.26103384834517</v>
      </c>
      <c r="F47" s="480">
        <f>('TABLE-4'!D48*100)/('TABLE-4'!M48)</f>
        <v>20.68784743516192</v>
      </c>
      <c r="G47" s="479">
        <f>'TABLE-4'!K48</f>
        <v>0.738887020514748</v>
      </c>
      <c r="H47" s="480">
        <f>'TABLE-4'!L48</f>
        <v>1.632501420516631</v>
      </c>
      <c r="J47" s="483"/>
      <c r="K47" s="98"/>
      <c r="N47" s="471"/>
      <c r="O47" s="471"/>
      <c r="P47" s="471"/>
      <c r="Q47" s="471"/>
      <c r="R47" s="471"/>
      <c r="S47" s="471"/>
      <c r="T47" s="471"/>
      <c r="V47" s="481"/>
      <c r="Y47" s="471"/>
      <c r="Z47" s="471"/>
    </row>
    <row r="48" spans="1:26" ht="12.75">
      <c r="A48" s="236"/>
      <c r="B48" s="412" t="s">
        <v>225</v>
      </c>
      <c r="C48" s="482">
        <f>'TABLE-3'!J48</f>
        <v>94.55215157929105</v>
      </c>
      <c r="D48" s="479">
        <f>'TABLE-2B'!J48</f>
        <v>94.55215157929105</v>
      </c>
      <c r="E48" s="482">
        <f>'TABLE-4'!N49</f>
        <v>41.860077528209786</v>
      </c>
      <c r="F48" s="482">
        <f>('TABLE-4'!D49*100)/('TABLE-4'!M49)</f>
        <v>19.114192842129494</v>
      </c>
      <c r="G48" s="482">
        <f>'TABLE-4'!K49</f>
        <v>0.7810373624581695</v>
      </c>
      <c r="H48" s="482">
        <f>'TABLE-4'!L49</f>
        <v>1.8658287527819866</v>
      </c>
      <c r="J48" s="483"/>
      <c r="K48" s="98"/>
      <c r="L48" s="401"/>
      <c r="M48" s="401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476"/>
    </row>
    <row r="49" spans="1:26" ht="12.75">
      <c r="A49" s="236"/>
      <c r="B49" s="484" t="s">
        <v>123</v>
      </c>
      <c r="C49" s="482">
        <f>'TABLE-3'!J49</f>
        <v>64.86509658331488</v>
      </c>
      <c r="D49" s="479">
        <f>'TABLE-2B'!J49</f>
        <v>61.8718995305157</v>
      </c>
      <c r="E49" s="482">
        <f>'TABLE-4'!N50</f>
        <v>57.89200586006874</v>
      </c>
      <c r="F49" s="482">
        <f>('TABLE-4'!D50*100)/('TABLE-4'!M50)</f>
        <v>30.097728907355044</v>
      </c>
      <c r="G49" s="482">
        <f>'TABLE-4'!K50</f>
        <v>13.470036669670856</v>
      </c>
      <c r="H49" s="482">
        <f>'TABLE-4'!L50</f>
        <v>23.26752453910372</v>
      </c>
      <c r="I49" s="260"/>
      <c r="J49" s="476"/>
      <c r="K49" s="98"/>
      <c r="L49" s="401"/>
      <c r="M49" s="401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476"/>
    </row>
    <row r="50" spans="2:26" ht="15">
      <c r="B50" s="401"/>
      <c r="C50" s="192"/>
      <c r="D50" s="192"/>
      <c r="J50" s="485"/>
      <c r="K50" s="401"/>
      <c r="L50" s="401"/>
      <c r="M50" s="470"/>
      <c r="N50" s="470"/>
      <c r="O50" s="470"/>
      <c r="P50" s="470"/>
      <c r="Q50" s="470"/>
      <c r="R50" s="470"/>
      <c r="U50" s="98"/>
      <c r="X50" s="98"/>
      <c r="Y50" s="471"/>
      <c r="Z50" s="471"/>
    </row>
    <row r="51" spans="10:26" ht="12.75">
      <c r="J51" s="486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260"/>
      <c r="X51" s="401"/>
      <c r="Y51" s="471"/>
      <c r="Z51" s="471"/>
    </row>
    <row r="52" spans="1:26" ht="12.75">
      <c r="A52" s="401"/>
      <c r="B52" s="401"/>
      <c r="C52" s="192"/>
      <c r="D52" s="192"/>
      <c r="E52" s="192" t="s">
        <v>36</v>
      </c>
      <c r="F52" s="487"/>
      <c r="G52" s="192" t="s">
        <v>36</v>
      </c>
      <c r="H52" s="192"/>
      <c r="I52" s="260"/>
      <c r="J52" s="485"/>
      <c r="K52" s="401"/>
      <c r="L52" s="401"/>
      <c r="M52" s="401"/>
      <c r="N52" s="472"/>
      <c r="O52" s="472"/>
      <c r="Q52" s="472"/>
      <c r="R52" s="472"/>
      <c r="S52" s="472"/>
      <c r="T52" s="472"/>
      <c r="U52" s="472"/>
      <c r="V52" s="472"/>
      <c r="W52" s="473"/>
      <c r="X52" s="98"/>
      <c r="Y52" s="471"/>
      <c r="Z52" s="471"/>
    </row>
    <row r="53" spans="1:26" ht="12.75">
      <c r="A53" s="402" t="s">
        <v>4</v>
      </c>
      <c r="B53" s="402" t="s">
        <v>5</v>
      </c>
      <c r="C53" s="474" t="s">
        <v>112</v>
      </c>
      <c r="D53" s="474" t="s">
        <v>113</v>
      </c>
      <c r="E53" s="474" t="s">
        <v>114</v>
      </c>
      <c r="F53" s="261" t="s">
        <v>3</v>
      </c>
      <c r="G53" s="474" t="s">
        <v>115</v>
      </c>
      <c r="H53" s="474" t="s">
        <v>116</v>
      </c>
      <c r="I53" s="260"/>
      <c r="J53" s="483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73"/>
      <c r="X53" s="472"/>
      <c r="Y53" s="471"/>
      <c r="Z53" s="476"/>
    </row>
    <row r="54" spans="1:26" ht="12.75">
      <c r="A54" s="477" t="s">
        <v>6</v>
      </c>
      <c r="B54" s="477"/>
      <c r="C54" s="262" t="s">
        <v>117</v>
      </c>
      <c r="D54" s="262"/>
      <c r="E54" s="263"/>
      <c r="F54" s="478" t="s">
        <v>171</v>
      </c>
      <c r="G54" s="263" t="s">
        <v>98</v>
      </c>
      <c r="H54" s="263" t="s">
        <v>118</v>
      </c>
      <c r="I54" s="260"/>
      <c r="J54" s="483"/>
      <c r="K54" s="401"/>
      <c r="L54" s="401"/>
      <c r="M54" s="401"/>
      <c r="N54" s="472"/>
      <c r="O54" s="472"/>
      <c r="P54" s="472"/>
      <c r="Q54" s="472"/>
      <c r="R54" s="472"/>
      <c r="S54" s="401"/>
      <c r="T54" s="401"/>
      <c r="U54" s="401"/>
      <c r="V54" s="401"/>
      <c r="W54" s="260"/>
      <c r="X54" s="401"/>
      <c r="Y54" s="475"/>
      <c r="Z54" s="476"/>
    </row>
    <row r="55" spans="1:26" ht="12.75">
      <c r="A55" s="477"/>
      <c r="B55" s="477"/>
      <c r="C55" s="262"/>
      <c r="D55" s="262"/>
      <c r="E55" s="642" t="s">
        <v>119</v>
      </c>
      <c r="F55" s="643"/>
      <c r="G55" s="643"/>
      <c r="H55" s="403"/>
      <c r="I55" s="260"/>
      <c r="J55" s="483"/>
      <c r="K55" s="401"/>
      <c r="L55" s="401"/>
      <c r="M55" s="401"/>
      <c r="N55" s="472"/>
      <c r="O55" s="472"/>
      <c r="P55" s="472"/>
      <c r="Q55" s="472"/>
      <c r="R55" s="401"/>
      <c r="S55" s="401"/>
      <c r="T55" s="401"/>
      <c r="U55" s="401"/>
      <c r="V55" s="401"/>
      <c r="W55" s="260"/>
      <c r="X55" s="401"/>
      <c r="Y55" s="471"/>
      <c r="Z55" s="471"/>
    </row>
    <row r="56" spans="1:26" ht="15" customHeight="1">
      <c r="A56" s="265">
        <v>41</v>
      </c>
      <c r="B56" s="190" t="s">
        <v>78</v>
      </c>
      <c r="C56" s="479">
        <f>'TABLE-3'!J56</f>
        <v>44.94575722221255</v>
      </c>
      <c r="D56" s="479">
        <f>'TABLE-2B'!J56</f>
        <v>44.94575722221255</v>
      </c>
      <c r="E56" s="480">
        <f>'TABLE-4'!N58</f>
        <v>93.37104335360893</v>
      </c>
      <c r="F56" s="480">
        <f>('TABLE-4'!D58*100)/('TABLE-4'!M58)</f>
        <v>71.03560497462323</v>
      </c>
      <c r="G56" s="480">
        <f>'TABLE-4'!K58</f>
        <v>24.40819805509279</v>
      </c>
      <c r="H56" s="480">
        <f>'TABLE-4'!L58</f>
        <v>26.141078838174277</v>
      </c>
      <c r="J56" s="483"/>
      <c r="K56" s="98"/>
      <c r="N56" s="471"/>
      <c r="O56" s="471"/>
      <c r="P56" s="471"/>
      <c r="Q56" s="481"/>
      <c r="R56" s="471"/>
      <c r="S56" s="471"/>
      <c r="T56" s="471"/>
      <c r="U56" s="481"/>
      <c r="V56" s="481"/>
      <c r="X56" s="481"/>
      <c r="Y56" s="471"/>
      <c r="Z56" s="471"/>
    </row>
    <row r="57" spans="1:26" ht="15" customHeight="1">
      <c r="A57" s="265">
        <v>42</v>
      </c>
      <c r="B57" s="190" t="s">
        <v>278</v>
      </c>
      <c r="C57" s="479">
        <f>'TABLE-3'!J57</f>
        <v>88.33830832801074</v>
      </c>
      <c r="D57" s="479">
        <f>'TABLE-2B'!J57</f>
        <v>64.39315927369422</v>
      </c>
      <c r="E57" s="480">
        <f>'TABLE-4'!N59</f>
        <v>91.38571471948664</v>
      </c>
      <c r="F57" s="480">
        <f>('TABLE-4'!D59*100)/('TABLE-4'!M59)</f>
        <v>70.08734729405573</v>
      </c>
      <c r="G57" s="480">
        <f>'TABLE-4'!K59</f>
        <v>42.91454539933806</v>
      </c>
      <c r="H57" s="480">
        <f>'TABLE-4'!L59</f>
        <v>46.95979621220512</v>
      </c>
      <c r="J57" s="483"/>
      <c r="K57" s="98"/>
      <c r="N57" s="471"/>
      <c r="O57" s="471"/>
      <c r="P57" s="471"/>
      <c r="Q57" s="481"/>
      <c r="R57" s="471"/>
      <c r="S57" s="471"/>
      <c r="T57" s="471"/>
      <c r="U57" s="481"/>
      <c r="V57" s="481"/>
      <c r="X57" s="481"/>
      <c r="Y57" s="471"/>
      <c r="Z57" s="471"/>
    </row>
    <row r="58" spans="1:26" ht="15" customHeight="1">
      <c r="A58" s="265">
        <v>43</v>
      </c>
      <c r="B58" s="190" t="s">
        <v>30</v>
      </c>
      <c r="C58" s="479">
        <f>'TABLE-3'!J58</f>
        <v>60.145978571094375</v>
      </c>
      <c r="D58" s="479">
        <f>'TABLE-2B'!J58</f>
        <v>35.39044588967389</v>
      </c>
      <c r="E58" s="480">
        <f>'TABLE-4'!N60</f>
        <v>86.18455843469064</v>
      </c>
      <c r="F58" s="480">
        <f>('TABLE-4'!D60*100)/('TABLE-4'!M60)</f>
        <v>60.89370703331571</v>
      </c>
      <c r="G58" s="480">
        <f>'TABLE-4'!K60</f>
        <v>25.753569539925962</v>
      </c>
      <c r="H58" s="480">
        <f>'TABLE-4'!L60</f>
        <v>29.88188372449762</v>
      </c>
      <c r="J58" s="483"/>
      <c r="K58" s="98"/>
      <c r="N58" s="471"/>
      <c r="O58" s="471"/>
      <c r="P58" s="471"/>
      <c r="Q58" s="481"/>
      <c r="R58" s="471"/>
      <c r="S58" s="471"/>
      <c r="T58" s="471"/>
      <c r="U58" s="481"/>
      <c r="V58" s="481"/>
      <c r="X58" s="481"/>
      <c r="Y58" s="471"/>
      <c r="Z58" s="471"/>
    </row>
    <row r="59" spans="1:26" ht="15" customHeight="1">
      <c r="A59" s="265">
        <v>44</v>
      </c>
      <c r="B59" s="190" t="s">
        <v>234</v>
      </c>
      <c r="C59" s="479">
        <f>'TABLE-3'!J59</f>
        <v>111.92472158537367</v>
      </c>
      <c r="D59" s="479">
        <f>'TABLE-2B'!J59</f>
        <v>68.05217685527106</v>
      </c>
      <c r="E59" s="480">
        <f>'TABLE-4'!N61</f>
        <v>83.6532279495598</v>
      </c>
      <c r="F59" s="480">
        <f>('TABLE-4'!D61*100)/('TABLE-4'!M61)</f>
        <v>73.93208918759055</v>
      </c>
      <c r="G59" s="480">
        <f>'TABLE-4'!K61</f>
        <v>19.35226697984621</v>
      </c>
      <c r="H59" s="480">
        <f>'TABLE-4'!L61</f>
        <v>23.13391539596655</v>
      </c>
      <c r="J59" s="483"/>
      <c r="K59" s="98"/>
      <c r="N59" s="471"/>
      <c r="O59" s="471"/>
      <c r="P59" s="471"/>
      <c r="Q59" s="481"/>
      <c r="R59" s="471"/>
      <c r="S59" s="471"/>
      <c r="T59" s="471"/>
      <c r="U59" s="481"/>
      <c r="V59" s="481"/>
      <c r="X59" s="481"/>
      <c r="Y59" s="471"/>
      <c r="Z59" s="471"/>
    </row>
    <row r="60" spans="1:26" ht="15" customHeight="1">
      <c r="A60" s="265">
        <v>45</v>
      </c>
      <c r="B60" s="190" t="s">
        <v>29</v>
      </c>
      <c r="C60" s="479">
        <f>'TABLE-3'!J60</f>
        <v>31.454850636241975</v>
      </c>
      <c r="D60" s="479">
        <f>'TABLE-2B'!J60</f>
        <v>23.31979948737723</v>
      </c>
      <c r="E60" s="480">
        <f>'TABLE-4'!N62</f>
        <v>73.42184612391792</v>
      </c>
      <c r="F60" s="480">
        <f>('TABLE-4'!D62*100)/('TABLE-4'!M62)</f>
        <v>39.82102908277405</v>
      </c>
      <c r="G60" s="480">
        <f>'TABLE-4'!K62</f>
        <v>18.19861881139967</v>
      </c>
      <c r="H60" s="480">
        <f>'TABLE-4'!L62</f>
        <v>24.786381400278202</v>
      </c>
      <c r="J60" s="483"/>
      <c r="K60" s="98"/>
      <c r="N60" s="471"/>
      <c r="O60" s="471"/>
      <c r="P60" s="471"/>
      <c r="Q60" s="481"/>
      <c r="R60" s="471"/>
      <c r="S60" s="471"/>
      <c r="T60" s="471"/>
      <c r="U60" s="481"/>
      <c r="V60" s="481"/>
      <c r="X60" s="481"/>
      <c r="Y60" s="471"/>
      <c r="Z60" s="471"/>
    </row>
    <row r="61" spans="1:26" ht="15" customHeight="1">
      <c r="A61" s="265">
        <v>46</v>
      </c>
      <c r="B61" s="190" t="s">
        <v>391</v>
      </c>
      <c r="C61" s="479">
        <f>'TABLE-3'!J61</f>
        <v>94.54124693710862</v>
      </c>
      <c r="D61" s="479">
        <f>'TABLE-2B'!J61</f>
        <v>58.57998522033371</v>
      </c>
      <c r="E61" s="480">
        <f>'TABLE-4'!N63</f>
        <v>82.03698170832918</v>
      </c>
      <c r="F61" s="480">
        <f>('TABLE-4'!D63*100)/('TABLE-4'!M63)</f>
        <v>66.27892308203035</v>
      </c>
      <c r="G61" s="480">
        <f>'TABLE-4'!K63</f>
        <v>33.27092255087475</v>
      </c>
      <c r="H61" s="480">
        <f>'TABLE-4'!L63</f>
        <v>40.556005179669796</v>
      </c>
      <c r="J61" s="483"/>
      <c r="K61" s="98"/>
      <c r="N61" s="471"/>
      <c r="O61" s="471"/>
      <c r="P61" s="471"/>
      <c r="Q61" s="481"/>
      <c r="R61" s="471"/>
      <c r="S61" s="471"/>
      <c r="T61" s="471"/>
      <c r="U61" s="481"/>
      <c r="V61" s="481"/>
      <c r="X61" s="481"/>
      <c r="Y61" s="471"/>
      <c r="Z61" s="471"/>
    </row>
    <row r="62" spans="1:26" ht="15" customHeight="1">
      <c r="A62" s="265">
        <v>47</v>
      </c>
      <c r="B62" s="190" t="s">
        <v>25</v>
      </c>
      <c r="C62" s="479">
        <f>'TABLE-3'!J62</f>
        <v>102.8755527985112</v>
      </c>
      <c r="D62" s="479">
        <f>'TABLE-2B'!J62</f>
        <v>33.826266183739214</v>
      </c>
      <c r="E62" s="480">
        <f>'TABLE-4'!N64</f>
        <v>79.73260766682442</v>
      </c>
      <c r="F62" s="480">
        <f>('TABLE-4'!D64*100)/('TABLE-4'!M64)</f>
        <v>70.81164221486038</v>
      </c>
      <c r="G62" s="480">
        <f>'TABLE-4'!K64</f>
        <v>57.270468528159014</v>
      </c>
      <c r="H62" s="480">
        <f>'TABLE-4'!L64</f>
        <v>71.82816441608547</v>
      </c>
      <c r="J62" s="483"/>
      <c r="K62" s="98"/>
      <c r="N62" s="471"/>
      <c r="O62" s="471"/>
      <c r="P62" s="471"/>
      <c r="Q62" s="481"/>
      <c r="R62" s="471"/>
      <c r="S62" s="471"/>
      <c r="T62" s="471"/>
      <c r="U62" s="481"/>
      <c r="V62" s="481"/>
      <c r="X62" s="481"/>
      <c r="Y62" s="471"/>
      <c r="Z62" s="471"/>
    </row>
    <row r="63" spans="1:26" ht="15" customHeight="1">
      <c r="A63" s="265">
        <v>48</v>
      </c>
      <c r="B63" s="190" t="s">
        <v>28</v>
      </c>
      <c r="C63" s="479">
        <f>'TABLE-3'!J63</f>
        <v>51.3225269886827</v>
      </c>
      <c r="D63" s="479">
        <f>'TABLE-2B'!J63</f>
        <v>51.3225269886827</v>
      </c>
      <c r="E63" s="480">
        <f>'TABLE-4'!N65</f>
        <v>91.08413828164717</v>
      </c>
      <c r="F63" s="480">
        <f>('TABLE-4'!D65*100)/('TABLE-4'!M65)</f>
        <v>60.339349262836805</v>
      </c>
      <c r="G63" s="480">
        <f>'TABLE-4'!K65</f>
        <v>15.16268429079817</v>
      </c>
      <c r="H63" s="480">
        <f>'TABLE-4'!L65</f>
        <v>16.64689876508756</v>
      </c>
      <c r="J63" s="483"/>
      <c r="K63" s="98"/>
      <c r="N63" s="471"/>
      <c r="O63" s="471"/>
      <c r="P63" s="471"/>
      <c r="Q63" s="481"/>
      <c r="R63" s="471"/>
      <c r="S63" s="471"/>
      <c r="T63" s="471"/>
      <c r="U63" s="481"/>
      <c r="V63" s="481"/>
      <c r="X63" s="481"/>
      <c r="Y63" s="471"/>
      <c r="Z63" s="471"/>
    </row>
    <row r="64" spans="1:26" ht="15" customHeight="1">
      <c r="A64" s="265"/>
      <c r="B64" s="484" t="s">
        <v>123</v>
      </c>
      <c r="C64" s="482">
        <f>'TABLE-3'!J64</f>
        <v>84.8658761356801</v>
      </c>
      <c r="D64" s="479">
        <f>'TABLE-2B'!J64</f>
        <v>54.56399648492168</v>
      </c>
      <c r="E64" s="412">
        <f>'TABLE-4'!N66</f>
        <v>85.04681362477521</v>
      </c>
      <c r="F64" s="482">
        <f>('TABLE-4'!D66*100)/('TABLE-4'!M66)</f>
        <v>68.02468153921608</v>
      </c>
      <c r="G64" s="413">
        <f>'TABLE-4'!K66</f>
        <v>30.73991596081706</v>
      </c>
      <c r="H64" s="413">
        <f>'TABLE-4'!L66</f>
        <v>36.1447003722455</v>
      </c>
      <c r="J64" s="483"/>
      <c r="K64" s="98"/>
      <c r="N64" s="471"/>
      <c r="O64" s="471"/>
      <c r="P64" s="471"/>
      <c r="Q64" s="481"/>
      <c r="R64" s="471"/>
      <c r="S64" s="471"/>
      <c r="T64" s="471"/>
      <c r="U64" s="481"/>
      <c r="V64" s="481"/>
      <c r="X64" s="481"/>
      <c r="Y64" s="471"/>
      <c r="Z64" s="471"/>
    </row>
    <row r="65" spans="1:26" ht="15" customHeight="1">
      <c r="A65" s="265"/>
      <c r="B65" s="264"/>
      <c r="C65" s="479"/>
      <c r="D65" s="480"/>
      <c r="E65" s="480"/>
      <c r="F65" s="480"/>
      <c r="G65" s="480"/>
      <c r="H65" s="480"/>
      <c r="J65" s="483"/>
      <c r="K65" s="98"/>
      <c r="N65" s="471"/>
      <c r="O65" s="471"/>
      <c r="P65" s="471"/>
      <c r="Q65" s="481"/>
      <c r="R65" s="471"/>
      <c r="S65" s="471"/>
      <c r="T65" s="471"/>
      <c r="U65" s="481"/>
      <c r="V65" s="481"/>
      <c r="X65" s="481"/>
      <c r="Y65" s="471"/>
      <c r="Z65" s="471"/>
    </row>
    <row r="66" spans="1:26" ht="15" customHeight="1">
      <c r="A66" s="265">
        <v>49</v>
      </c>
      <c r="B66" s="264" t="s">
        <v>34</v>
      </c>
      <c r="C66" s="479">
        <f>'TABLE-3'!J66</f>
        <v>66.25290731151779</v>
      </c>
      <c r="D66" s="479">
        <f>'TABLE-2B'!J66</f>
        <v>58.07767109413868</v>
      </c>
      <c r="E66" s="480">
        <f>'TABLE-4'!N68</f>
        <v>100.00018531799641</v>
      </c>
      <c r="F66" s="480">
        <f>('TABLE-4'!D68*100)/('TABLE-4'!M68)</f>
        <v>89.95724713822683</v>
      </c>
      <c r="G66" s="480">
        <f>'TABLE-4'!K68</f>
        <v>12.92722747598742</v>
      </c>
      <c r="H66" s="480">
        <f>'TABLE-4'!L68</f>
        <v>12.927203519552865</v>
      </c>
      <c r="J66" s="483"/>
      <c r="K66" s="98"/>
      <c r="N66" s="471"/>
      <c r="O66" s="471"/>
      <c r="P66" s="471"/>
      <c r="Q66" s="481"/>
      <c r="R66" s="471"/>
      <c r="S66" s="471"/>
      <c r="T66" s="471"/>
      <c r="U66" s="481"/>
      <c r="V66" s="481"/>
      <c r="X66" s="481"/>
      <c r="Y66" s="471"/>
      <c r="Z66" s="471"/>
    </row>
    <row r="67" spans="1:26" ht="15" customHeight="1">
      <c r="A67" s="265">
        <v>50</v>
      </c>
      <c r="B67" s="264" t="s">
        <v>130</v>
      </c>
      <c r="C67" s="479">
        <f>'TABLE-3'!J67</f>
        <v>982.3600678458929</v>
      </c>
      <c r="D67" s="479">
        <f>'TABLE-2B'!J67</f>
        <v>968.16896858089</v>
      </c>
      <c r="E67" s="480">
        <f>'TABLE-4'!N69</f>
        <v>100</v>
      </c>
      <c r="F67" s="480">
        <f>('TABLE-4'!D69*100)/('TABLE-4'!M69)</f>
        <v>99.64544627885442</v>
      </c>
      <c r="G67" s="480">
        <f>'TABLE-4'!K69</f>
        <v>26.848476253243124</v>
      </c>
      <c r="H67" s="480">
        <f>'TABLE-4'!L69</f>
        <v>26.848476253243124</v>
      </c>
      <c r="J67" s="483"/>
      <c r="K67" s="98"/>
      <c r="N67" s="471"/>
      <c r="O67" s="471"/>
      <c r="P67" s="471"/>
      <c r="Q67" s="481"/>
      <c r="R67" s="471"/>
      <c r="S67" s="471"/>
      <c r="T67" s="471"/>
      <c r="U67" s="481"/>
      <c r="V67" s="481"/>
      <c r="X67" s="481"/>
      <c r="Y67" s="471"/>
      <c r="Z67" s="471"/>
    </row>
    <row r="68" spans="1:26" ht="15" customHeight="1">
      <c r="A68" s="236"/>
      <c r="B68" s="484" t="s">
        <v>123</v>
      </c>
      <c r="C68" s="482">
        <f>'TABLE-3'!J68</f>
        <v>78.29993287335924</v>
      </c>
      <c r="D68" s="479">
        <f>'TABLE-2B'!J68</f>
        <v>70.04558663584997</v>
      </c>
      <c r="E68" s="412">
        <f>'TABLE-4'!N70</f>
        <v>100.00015163416136</v>
      </c>
      <c r="F68" s="482">
        <f>('TABLE-4'!D70*100)/('TABLE-4'!M70)</f>
        <v>91.7181970091678</v>
      </c>
      <c r="G68" s="413">
        <f>'TABLE-4'!K70</f>
        <v>15.45758640872685</v>
      </c>
      <c r="H68" s="413">
        <f>'TABLE-4'!L70</f>
        <v>15.457562969780875</v>
      </c>
      <c r="I68" s="260"/>
      <c r="J68" s="483"/>
      <c r="K68" s="98"/>
      <c r="L68" s="401"/>
      <c r="N68" s="471"/>
      <c r="O68" s="471"/>
      <c r="P68" s="471"/>
      <c r="Q68" s="260"/>
      <c r="R68" s="471"/>
      <c r="S68" s="471"/>
      <c r="T68" s="471"/>
      <c r="V68" s="481"/>
      <c r="X68" s="481"/>
      <c r="Y68" s="471"/>
      <c r="Z68" s="471"/>
    </row>
    <row r="69" spans="1:26" ht="15" customHeight="1">
      <c r="A69" s="236"/>
      <c r="B69" s="484"/>
      <c r="C69" s="482"/>
      <c r="D69" s="479">
        <f>'TABLE-2B'!J69</f>
        <v>0</v>
      </c>
      <c r="E69" s="412"/>
      <c r="F69" s="482"/>
      <c r="G69" s="413"/>
      <c r="H69" s="413"/>
      <c r="I69" s="260"/>
      <c r="J69" s="483"/>
      <c r="K69" s="98"/>
      <c r="L69" s="401"/>
      <c r="N69" s="471"/>
      <c r="O69" s="471"/>
      <c r="P69" s="471"/>
      <c r="Q69" s="260"/>
      <c r="R69" s="471"/>
      <c r="S69" s="471"/>
      <c r="T69" s="471"/>
      <c r="V69" s="481"/>
      <c r="X69" s="481"/>
      <c r="Y69" s="471"/>
      <c r="Z69" s="471"/>
    </row>
    <row r="70" spans="1:26" ht="12.75">
      <c r="A70" s="236"/>
      <c r="B70" s="484" t="s">
        <v>35</v>
      </c>
      <c r="C70" s="482">
        <f>'TABLE-3'!J70</f>
        <v>67.30181049950208</v>
      </c>
      <c r="D70" s="482">
        <f>'TABLE-2B'!J70</f>
        <v>62.00799338742641</v>
      </c>
      <c r="E70" s="412">
        <f>'TABLE-4'!N72</f>
        <v>63.27578959138101</v>
      </c>
      <c r="F70" s="482">
        <f>('TABLE-4'!D72*100)/('TABLE-4'!M72)</f>
        <v>37.86611699617151</v>
      </c>
      <c r="G70" s="413">
        <f>'TABLE-4'!K72</f>
        <v>14.696728854905697</v>
      </c>
      <c r="H70" s="413">
        <f>'TABLE-4'!L72</f>
        <v>23.226464576441384</v>
      </c>
      <c r="I70" s="260"/>
      <c r="J70" s="483"/>
      <c r="K70" s="98"/>
      <c r="U70" s="98"/>
      <c r="X70" s="98"/>
      <c r="Y70" s="471"/>
      <c r="Z70" s="471"/>
    </row>
    <row r="71" ht="12.75">
      <c r="J71" s="483"/>
    </row>
    <row r="72" ht="12.75">
      <c r="J72" s="483"/>
    </row>
    <row r="73" ht="12.75">
      <c r="J73" s="483"/>
    </row>
    <row r="74" ht="12.75">
      <c r="J74" s="483"/>
    </row>
    <row r="75" ht="12.75">
      <c r="J75" s="483"/>
    </row>
    <row r="76" ht="12.75">
      <c r="J76" s="483"/>
    </row>
    <row r="77" ht="12.75">
      <c r="J77" s="483"/>
    </row>
    <row r="78" ht="12.75">
      <c r="J78" s="483"/>
    </row>
    <row r="79" ht="12.75">
      <c r="J79" s="483"/>
    </row>
    <row r="80" ht="12.75">
      <c r="J80" s="483"/>
    </row>
    <row r="81" ht="12.75">
      <c r="J81" s="483"/>
    </row>
    <row r="82" ht="12.75">
      <c r="J82" s="483"/>
    </row>
    <row r="83" ht="12.75">
      <c r="J83" s="483"/>
    </row>
    <row r="84" ht="12.75">
      <c r="J84" s="483"/>
    </row>
    <row r="85" ht="12.75">
      <c r="J85" s="483"/>
    </row>
    <row r="86" ht="12.75">
      <c r="J86" s="483"/>
    </row>
    <row r="87" ht="12.75">
      <c r="J87" s="483"/>
    </row>
    <row r="88" ht="12.75">
      <c r="J88" s="483"/>
    </row>
    <row r="89" ht="12.75">
      <c r="J89" s="483"/>
    </row>
    <row r="90" ht="12.75">
      <c r="J90" s="483"/>
    </row>
    <row r="91" ht="12.75">
      <c r="J91" s="483"/>
    </row>
    <row r="92" ht="12.75">
      <c r="J92" s="483"/>
    </row>
    <row r="93" ht="12.75">
      <c r="J93" s="483"/>
    </row>
    <row r="94" ht="12.75">
      <c r="J94" s="483"/>
    </row>
    <row r="95" ht="12.75">
      <c r="J95" s="483"/>
    </row>
    <row r="96" ht="12.75">
      <c r="J96" s="483"/>
    </row>
    <row r="97" ht="12.75">
      <c r="J97" s="483"/>
    </row>
    <row r="98" ht="12.75">
      <c r="J98" s="483"/>
    </row>
    <row r="99" ht="12.75">
      <c r="J99" s="483"/>
    </row>
    <row r="100" ht="12.75">
      <c r="J100" s="483"/>
    </row>
  </sheetData>
  <sheetProtection/>
  <mergeCells count="2">
    <mergeCell ref="E6:G6"/>
    <mergeCell ref="E55:G55"/>
  </mergeCells>
  <printOptions gridLines="1" horizontalCentered="1"/>
  <pageMargins left="0.7480314960629921" right="0.7480314960629921" top="0.45" bottom="0.7480314960629921" header="0.49" footer="0.5118110236220472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5"/>
  <sheetViews>
    <sheetView zoomScale="120" zoomScaleNormal="120" zoomScalePageLayoutView="0" workbookViewId="0" topLeftCell="A4">
      <selection activeCell="C19" sqref="C19"/>
    </sheetView>
  </sheetViews>
  <sheetFormatPr defaultColWidth="8.7109375" defaultRowHeight="12.75"/>
  <cols>
    <col min="1" max="1" width="6.28125" style="311" customWidth="1"/>
    <col min="2" max="2" width="19.28125" style="311" customWidth="1"/>
    <col min="3" max="3" width="11.00390625" style="309" customWidth="1"/>
    <col min="4" max="4" width="11.57421875" style="309" customWidth="1"/>
    <col min="5" max="5" width="11.140625" style="309" customWidth="1"/>
    <col min="6" max="6" width="9.57421875" style="309" customWidth="1"/>
    <col min="7" max="7" width="10.140625" style="309" customWidth="1"/>
    <col min="8" max="8" width="10.00390625" style="309" customWidth="1"/>
    <col min="9" max="10" width="8.7109375" style="309" customWidth="1"/>
    <col min="11" max="11" width="9.8515625" style="309" customWidth="1"/>
    <col min="12" max="22" width="8.7109375" style="309" customWidth="1"/>
    <col min="23" max="16384" width="8.7109375" style="311" customWidth="1"/>
  </cols>
  <sheetData>
    <row r="1" spans="1:22" ht="18" customHeight="1">
      <c r="A1" s="307"/>
      <c r="B1" s="307"/>
      <c r="C1" s="308"/>
      <c r="D1" s="308"/>
      <c r="E1" s="308"/>
      <c r="F1" s="308"/>
      <c r="G1" s="414"/>
      <c r="H1" s="414"/>
      <c r="I1" s="308"/>
      <c r="J1" s="308"/>
      <c r="L1" s="422"/>
      <c r="M1" s="310"/>
      <c r="N1" s="310"/>
      <c r="O1" s="310"/>
      <c r="P1" s="422"/>
      <c r="Q1" s="310"/>
      <c r="R1" s="310"/>
      <c r="S1" s="415"/>
      <c r="T1" s="415"/>
      <c r="U1" s="415"/>
      <c r="V1" s="415"/>
    </row>
    <row r="2" spans="4:22" ht="18" customHeight="1">
      <c r="D2" s="308"/>
      <c r="E2" s="308"/>
      <c r="F2" s="308"/>
      <c r="G2" s="414"/>
      <c r="H2" s="415"/>
      <c r="K2" s="310"/>
      <c r="L2" s="415"/>
      <c r="P2" s="415"/>
      <c r="S2" s="415"/>
      <c r="T2" s="415"/>
      <c r="U2" s="415"/>
      <c r="V2" s="415"/>
    </row>
    <row r="3" spans="4:22" ht="22.5" customHeight="1">
      <c r="D3" s="308"/>
      <c r="E3" s="308"/>
      <c r="F3" s="308"/>
      <c r="G3" s="414"/>
      <c r="H3" s="415"/>
      <c r="K3" s="310"/>
      <c r="L3" s="422"/>
      <c r="M3" s="310"/>
      <c r="N3" s="310"/>
      <c r="O3" s="310"/>
      <c r="P3" s="422"/>
      <c r="Q3" s="310"/>
      <c r="R3" s="310"/>
      <c r="S3" s="415"/>
      <c r="T3" s="415"/>
      <c r="U3" s="415"/>
      <c r="V3" s="415"/>
    </row>
    <row r="4" spans="1:22" ht="12.75">
      <c r="A4" s="123" t="s">
        <v>4</v>
      </c>
      <c r="B4" s="123" t="s">
        <v>5</v>
      </c>
      <c r="C4" s="646" t="s">
        <v>94</v>
      </c>
      <c r="D4" s="647"/>
      <c r="E4" s="648" t="s">
        <v>137</v>
      </c>
      <c r="F4" s="621"/>
      <c r="G4" s="621"/>
      <c r="H4" s="621"/>
      <c r="I4" s="621"/>
      <c r="J4" s="621"/>
      <c r="K4" s="621"/>
      <c r="L4" s="622"/>
      <c r="M4" s="312"/>
      <c r="N4" s="313"/>
      <c r="O4" s="312"/>
      <c r="P4" s="423"/>
      <c r="Q4" s="312"/>
      <c r="R4" s="313"/>
      <c r="S4" s="424"/>
      <c r="T4" s="426"/>
      <c r="U4" s="428"/>
      <c r="V4" s="429"/>
    </row>
    <row r="5" spans="1:22" ht="12.75">
      <c r="A5" s="315" t="s">
        <v>6</v>
      </c>
      <c r="B5" s="315"/>
      <c r="C5" s="316" t="s">
        <v>95</v>
      </c>
      <c r="D5" s="317"/>
      <c r="E5" s="318" t="s">
        <v>96</v>
      </c>
      <c r="F5" s="319"/>
      <c r="G5" s="416"/>
      <c r="H5" s="417"/>
      <c r="I5" s="318"/>
      <c r="J5" s="319"/>
      <c r="K5" s="318"/>
      <c r="L5" s="417"/>
      <c r="M5" s="644" t="s">
        <v>97</v>
      </c>
      <c r="N5" s="645"/>
      <c r="O5" s="316"/>
      <c r="P5" s="419"/>
      <c r="Q5" s="316"/>
      <c r="R5" s="317"/>
      <c r="S5" s="425"/>
      <c r="T5" s="427"/>
      <c r="U5" s="430"/>
      <c r="V5" s="431"/>
    </row>
    <row r="6" spans="1:22" ht="12.75">
      <c r="A6" s="315"/>
      <c r="B6" s="315"/>
      <c r="C6" s="316" t="s">
        <v>98</v>
      </c>
      <c r="D6" s="317" t="s">
        <v>36</v>
      </c>
      <c r="E6" s="316" t="s">
        <v>99</v>
      </c>
      <c r="F6" s="317"/>
      <c r="G6" s="418" t="s">
        <v>100</v>
      </c>
      <c r="H6" s="419"/>
      <c r="I6" s="644" t="s">
        <v>129</v>
      </c>
      <c r="J6" s="645"/>
      <c r="K6" s="316" t="s">
        <v>142</v>
      </c>
      <c r="L6" s="419"/>
      <c r="M6" s="644" t="s">
        <v>101</v>
      </c>
      <c r="N6" s="645"/>
      <c r="O6" s="644" t="s">
        <v>195</v>
      </c>
      <c r="P6" s="645"/>
      <c r="Q6" s="644" t="s">
        <v>196</v>
      </c>
      <c r="R6" s="645"/>
      <c r="S6" s="644" t="s">
        <v>421</v>
      </c>
      <c r="T6" s="645"/>
      <c r="U6" s="623" t="s">
        <v>245</v>
      </c>
      <c r="V6" s="610"/>
    </row>
    <row r="7" spans="1:22" ht="12.75">
      <c r="A7" s="315"/>
      <c r="B7" s="315"/>
      <c r="C7" s="321"/>
      <c r="D7" s="322"/>
      <c r="E7" s="321" t="s">
        <v>102</v>
      </c>
      <c r="F7" s="322"/>
      <c r="G7" s="420"/>
      <c r="H7" s="421"/>
      <c r="I7" s="321"/>
      <c r="J7" s="322"/>
      <c r="K7" s="321"/>
      <c r="L7" s="421"/>
      <c r="M7" s="611" t="s">
        <v>103</v>
      </c>
      <c r="N7" s="612"/>
      <c r="O7" s="321"/>
      <c r="P7" s="421"/>
      <c r="Q7" s="321"/>
      <c r="R7" s="322"/>
      <c r="S7" s="420"/>
      <c r="T7" s="421"/>
      <c r="U7" s="432"/>
      <c r="V7" s="433"/>
    </row>
    <row r="8" spans="1:22" ht="12.75">
      <c r="A8" s="124"/>
      <c r="B8" s="124"/>
      <c r="C8" s="323" t="s">
        <v>57</v>
      </c>
      <c r="D8" s="324" t="s">
        <v>63</v>
      </c>
      <c r="E8" s="323" t="s">
        <v>57</v>
      </c>
      <c r="F8" s="324" t="s">
        <v>63</v>
      </c>
      <c r="G8" s="266" t="s">
        <v>57</v>
      </c>
      <c r="H8" s="266" t="s">
        <v>63</v>
      </c>
      <c r="I8" s="323" t="s">
        <v>57</v>
      </c>
      <c r="J8" s="323" t="s">
        <v>63</v>
      </c>
      <c r="K8" s="323" t="s">
        <v>57</v>
      </c>
      <c r="L8" s="266" t="s">
        <v>63</v>
      </c>
      <c r="M8" s="323" t="s">
        <v>57</v>
      </c>
      <c r="N8" s="323" t="s">
        <v>63</v>
      </c>
      <c r="O8" s="323" t="s">
        <v>57</v>
      </c>
      <c r="P8" s="266" t="s">
        <v>63</v>
      </c>
      <c r="Q8" s="323" t="s">
        <v>57</v>
      </c>
      <c r="R8" s="323" t="s">
        <v>63</v>
      </c>
      <c r="S8" s="266" t="s">
        <v>57</v>
      </c>
      <c r="T8" s="266" t="s">
        <v>63</v>
      </c>
      <c r="U8" s="266" t="s">
        <v>57</v>
      </c>
      <c r="V8" s="434" t="s">
        <v>63</v>
      </c>
    </row>
    <row r="9" spans="1:22" ht="13.5" customHeight="1">
      <c r="A9" s="115">
        <v>1</v>
      </c>
      <c r="B9" s="116" t="s">
        <v>7</v>
      </c>
      <c r="C9" s="116">
        <v>85227</v>
      </c>
      <c r="D9" s="116">
        <v>39601</v>
      </c>
      <c r="E9" s="116">
        <v>33756</v>
      </c>
      <c r="F9" s="116">
        <v>16431</v>
      </c>
      <c r="G9" s="190">
        <f>'TABLE-75'!M6+'TABLE-76'!M6</f>
        <v>29074</v>
      </c>
      <c r="H9" s="190">
        <f>'TABLE-75'!N6+'TABLE-76'!N6</f>
        <v>15833</v>
      </c>
      <c r="I9" s="116">
        <v>787</v>
      </c>
      <c r="J9" s="116">
        <v>75</v>
      </c>
      <c r="K9" s="116">
        <v>11942</v>
      </c>
      <c r="L9" s="190">
        <f>'TABLE-36'!F6+'TABLE-36'!I6</f>
        <v>3757</v>
      </c>
      <c r="M9" s="116">
        <v>2699</v>
      </c>
      <c r="N9" s="116">
        <v>1086</v>
      </c>
      <c r="O9" s="116">
        <v>3028</v>
      </c>
      <c r="P9" s="190">
        <f>'TABLE-36'!L6</f>
        <v>952</v>
      </c>
      <c r="Q9" s="116">
        <v>1574</v>
      </c>
      <c r="R9" s="116">
        <v>669</v>
      </c>
      <c r="S9" s="190">
        <f>'TABLE-55'!J8</f>
        <v>840</v>
      </c>
      <c r="T9" s="190">
        <f>'TABLE-55'!K8</f>
        <v>416</v>
      </c>
      <c r="U9" s="190">
        <f>'TABLE-71'!J8</f>
        <v>1527</v>
      </c>
      <c r="V9" s="190">
        <f>'TABLE-71'!K8</f>
        <v>382</v>
      </c>
    </row>
    <row r="10" spans="1:22" ht="13.5" customHeight="1">
      <c r="A10" s="115">
        <v>2</v>
      </c>
      <c r="B10" s="116" t="s">
        <v>8</v>
      </c>
      <c r="C10" s="116">
        <v>253</v>
      </c>
      <c r="D10" s="116">
        <v>165</v>
      </c>
      <c r="E10" s="116">
        <v>0</v>
      </c>
      <c r="F10" s="116">
        <v>0</v>
      </c>
      <c r="G10" s="190">
        <f>'TABLE-75'!M7+'TABLE-76'!M7</f>
        <v>183</v>
      </c>
      <c r="H10" s="190">
        <f>'TABLE-75'!N7+'TABLE-76'!N7</f>
        <v>112</v>
      </c>
      <c r="I10" s="116">
        <v>0</v>
      </c>
      <c r="J10" s="116">
        <v>0</v>
      </c>
      <c r="K10" s="116">
        <v>0</v>
      </c>
      <c r="L10" s="190">
        <f>'TABLE-36'!F7+'TABLE-36'!I7</f>
        <v>0</v>
      </c>
      <c r="M10" s="116">
        <v>0</v>
      </c>
      <c r="N10" s="116">
        <v>0</v>
      </c>
      <c r="O10" s="116">
        <v>97</v>
      </c>
      <c r="P10" s="190">
        <f>'TABLE-36'!L7</f>
        <v>40</v>
      </c>
      <c r="Q10" s="116">
        <v>0</v>
      </c>
      <c r="R10" s="116">
        <v>0</v>
      </c>
      <c r="S10" s="190">
        <f>'TABLE-55'!J9</f>
        <v>0</v>
      </c>
      <c r="T10" s="190">
        <f>'TABLE-55'!K9</f>
        <v>0</v>
      </c>
      <c r="U10" s="190">
        <f>'TABLE-71'!J9</f>
        <v>0</v>
      </c>
      <c r="V10" s="190">
        <f>'TABLE-71'!K9</f>
        <v>0</v>
      </c>
    </row>
    <row r="11" spans="1:22" ht="13.5" customHeight="1">
      <c r="A11" s="115">
        <v>3</v>
      </c>
      <c r="B11" s="116" t="s">
        <v>9</v>
      </c>
      <c r="C11" s="116">
        <v>28864</v>
      </c>
      <c r="D11" s="116">
        <v>20125</v>
      </c>
      <c r="E11" s="116">
        <v>21974</v>
      </c>
      <c r="F11" s="116">
        <v>19239</v>
      </c>
      <c r="G11" s="190">
        <f>'TABLE-75'!M8+'TABLE-76'!M8</f>
        <v>18452</v>
      </c>
      <c r="H11" s="190">
        <f>'TABLE-75'!N8+'TABLE-76'!N8</f>
        <v>13711</v>
      </c>
      <c r="I11" s="116">
        <v>21</v>
      </c>
      <c r="J11" s="116">
        <v>28</v>
      </c>
      <c r="K11" s="116">
        <v>4212</v>
      </c>
      <c r="L11" s="190">
        <f>'TABLE-36'!F8+'TABLE-36'!I8</f>
        <v>1387</v>
      </c>
      <c r="M11" s="116">
        <v>1186</v>
      </c>
      <c r="N11" s="116">
        <v>5461</v>
      </c>
      <c r="O11" s="116">
        <v>1781</v>
      </c>
      <c r="P11" s="190">
        <f>'TABLE-36'!L8</f>
        <v>473</v>
      </c>
      <c r="Q11" s="116">
        <v>279</v>
      </c>
      <c r="R11" s="116">
        <v>250</v>
      </c>
      <c r="S11" s="190">
        <f>'TABLE-55'!J10</f>
        <v>463</v>
      </c>
      <c r="T11" s="190">
        <f>'TABLE-55'!K10</f>
        <v>43</v>
      </c>
      <c r="U11" s="190">
        <f>'TABLE-71'!J10</f>
        <v>267</v>
      </c>
      <c r="V11" s="190">
        <f>'TABLE-71'!K10</f>
        <v>49</v>
      </c>
    </row>
    <row r="12" spans="1:22" ht="13.5" customHeight="1">
      <c r="A12" s="115">
        <v>4</v>
      </c>
      <c r="B12" s="116" t="s">
        <v>10</v>
      </c>
      <c r="C12" s="116">
        <v>87213</v>
      </c>
      <c r="D12" s="116">
        <v>67614</v>
      </c>
      <c r="E12" s="116">
        <v>70317</v>
      </c>
      <c r="F12" s="116">
        <v>59227</v>
      </c>
      <c r="G12" s="190">
        <f>'TABLE-75'!M9+'TABLE-76'!M9</f>
        <v>29418</v>
      </c>
      <c r="H12" s="190">
        <f>'TABLE-75'!N9+'TABLE-76'!N9</f>
        <v>19614</v>
      </c>
      <c r="I12" s="116">
        <v>356</v>
      </c>
      <c r="J12" s="116">
        <v>40</v>
      </c>
      <c r="K12" s="116">
        <v>15102</v>
      </c>
      <c r="L12" s="190">
        <f>'TABLE-36'!F9+'TABLE-36'!I9</f>
        <v>6179</v>
      </c>
      <c r="M12" s="116">
        <v>3042</v>
      </c>
      <c r="N12" s="116">
        <v>1735</v>
      </c>
      <c r="O12" s="116">
        <v>6378</v>
      </c>
      <c r="P12" s="190">
        <f>'TABLE-36'!L9</f>
        <v>2742</v>
      </c>
      <c r="Q12" s="116">
        <v>1638</v>
      </c>
      <c r="R12" s="116">
        <v>2074</v>
      </c>
      <c r="S12" s="190">
        <f>'TABLE-55'!J11</f>
        <v>1535</v>
      </c>
      <c r="T12" s="190">
        <f>'TABLE-55'!K11</f>
        <v>792</v>
      </c>
      <c r="U12" s="190">
        <f>'TABLE-71'!J11</f>
        <v>351</v>
      </c>
      <c r="V12" s="190">
        <f>'TABLE-71'!K11</f>
        <v>279</v>
      </c>
    </row>
    <row r="13" spans="1:22" ht="13.5" customHeight="1">
      <c r="A13" s="115">
        <v>5</v>
      </c>
      <c r="B13" s="116" t="s">
        <v>11</v>
      </c>
      <c r="C13" s="116">
        <v>30272</v>
      </c>
      <c r="D13" s="116">
        <v>17408</v>
      </c>
      <c r="E13" s="116">
        <v>10147</v>
      </c>
      <c r="F13" s="116">
        <v>6699</v>
      </c>
      <c r="G13" s="190">
        <f>'TABLE-75'!M10+'TABLE-76'!M10</f>
        <v>11137</v>
      </c>
      <c r="H13" s="190">
        <f>'TABLE-75'!N10+'TABLE-76'!N10</f>
        <v>7049</v>
      </c>
      <c r="I13" s="116">
        <v>66</v>
      </c>
      <c r="J13" s="116">
        <v>19</v>
      </c>
      <c r="K13" s="116">
        <v>15243</v>
      </c>
      <c r="L13" s="190">
        <f>'TABLE-36'!F10+'TABLE-36'!I10</f>
        <v>1569</v>
      </c>
      <c r="M13" s="116">
        <v>423</v>
      </c>
      <c r="N13" s="116">
        <v>455</v>
      </c>
      <c r="O13" s="116">
        <v>1263</v>
      </c>
      <c r="P13" s="190">
        <f>'TABLE-36'!L10</f>
        <v>429</v>
      </c>
      <c r="Q13" s="116">
        <v>1622</v>
      </c>
      <c r="R13" s="116">
        <v>962</v>
      </c>
      <c r="S13" s="190">
        <f>'TABLE-55'!J12</f>
        <v>484</v>
      </c>
      <c r="T13" s="190">
        <f>'TABLE-55'!K12</f>
        <v>28</v>
      </c>
      <c r="U13" s="190">
        <f>'TABLE-71'!J12</f>
        <v>1126</v>
      </c>
      <c r="V13" s="190">
        <f>'TABLE-71'!K12</f>
        <v>412</v>
      </c>
    </row>
    <row r="14" spans="1:22" ht="13.5" customHeight="1">
      <c r="A14" s="115">
        <v>6</v>
      </c>
      <c r="B14" s="116" t="s">
        <v>12</v>
      </c>
      <c r="C14" s="116">
        <v>7040</v>
      </c>
      <c r="D14" s="116">
        <v>5909</v>
      </c>
      <c r="E14" s="116">
        <v>1919</v>
      </c>
      <c r="F14" s="116">
        <v>2364</v>
      </c>
      <c r="G14" s="190">
        <f>'TABLE-75'!M11+'TABLE-76'!M11</f>
        <v>4348</v>
      </c>
      <c r="H14" s="190">
        <f>'TABLE-75'!N11+'TABLE-76'!N11</f>
        <v>3284</v>
      </c>
      <c r="I14" s="116">
        <v>196</v>
      </c>
      <c r="J14" s="116">
        <v>18</v>
      </c>
      <c r="K14" s="116">
        <v>207</v>
      </c>
      <c r="L14" s="190">
        <f>'TABLE-36'!F11+'TABLE-36'!I11</f>
        <v>155</v>
      </c>
      <c r="M14" s="116">
        <v>12</v>
      </c>
      <c r="N14" s="116">
        <v>7</v>
      </c>
      <c r="O14" s="116">
        <v>553</v>
      </c>
      <c r="P14" s="190">
        <f>'TABLE-36'!L11</f>
        <v>123</v>
      </c>
      <c r="Q14" s="116">
        <v>107</v>
      </c>
      <c r="R14" s="116">
        <v>134</v>
      </c>
      <c r="S14" s="190">
        <f>'TABLE-55'!J13</f>
        <v>34</v>
      </c>
      <c r="T14" s="190">
        <f>'TABLE-55'!K13</f>
        <v>9</v>
      </c>
      <c r="U14" s="190">
        <f>'TABLE-71'!J13</f>
        <v>0</v>
      </c>
      <c r="V14" s="190">
        <f>'TABLE-71'!K13</f>
        <v>16</v>
      </c>
    </row>
    <row r="15" spans="1:22" s="101" customFormat="1" ht="13.5" customHeight="1">
      <c r="A15" s="54">
        <v>7</v>
      </c>
      <c r="B15" s="57" t="s">
        <v>13</v>
      </c>
      <c r="C15" s="57">
        <v>123836</v>
      </c>
      <c r="D15" s="57">
        <v>71825</v>
      </c>
      <c r="E15" s="57">
        <v>86236</v>
      </c>
      <c r="F15" s="57">
        <v>39645</v>
      </c>
      <c r="G15" s="190">
        <f>'TABLE-75'!M12+'TABLE-76'!M12</f>
        <v>53327</v>
      </c>
      <c r="H15" s="190">
        <f>'TABLE-75'!N12+'TABLE-76'!N12</f>
        <v>21331</v>
      </c>
      <c r="I15" s="57">
        <v>331</v>
      </c>
      <c r="J15" s="57">
        <v>49</v>
      </c>
      <c r="K15" s="57">
        <v>13939</v>
      </c>
      <c r="L15" s="190">
        <f>'TABLE-36'!F12+'TABLE-36'!I12</f>
        <v>9320</v>
      </c>
      <c r="M15" s="57">
        <v>5805</v>
      </c>
      <c r="N15" s="57">
        <v>2128</v>
      </c>
      <c r="O15" s="57">
        <v>9194</v>
      </c>
      <c r="P15" s="190">
        <f>'TABLE-36'!L12</f>
        <v>3413</v>
      </c>
      <c r="Q15" s="57">
        <v>5243</v>
      </c>
      <c r="R15" s="57">
        <v>3896</v>
      </c>
      <c r="S15" s="190">
        <f>'TABLE-55'!J14</f>
        <v>1626</v>
      </c>
      <c r="T15" s="190">
        <f>'TABLE-55'!K14</f>
        <v>616</v>
      </c>
      <c r="U15" s="190">
        <f>'TABLE-71'!J14</f>
        <v>2968</v>
      </c>
      <c r="V15" s="190">
        <f>'TABLE-71'!K14</f>
        <v>1067</v>
      </c>
    </row>
    <row r="16" spans="1:22" s="101" customFormat="1" ht="13.5" customHeight="1">
      <c r="A16" s="54">
        <v>8</v>
      </c>
      <c r="B16" s="57" t="s">
        <v>162</v>
      </c>
      <c r="C16" s="57">
        <v>1436</v>
      </c>
      <c r="D16" s="57">
        <v>1229</v>
      </c>
      <c r="E16" s="57">
        <v>291</v>
      </c>
      <c r="F16" s="57">
        <v>54</v>
      </c>
      <c r="G16" s="190">
        <f>'TABLE-75'!M13+'TABLE-76'!M13</f>
        <v>511</v>
      </c>
      <c r="H16" s="190">
        <f>'TABLE-75'!N13+'TABLE-76'!N13</f>
        <v>335</v>
      </c>
      <c r="I16" s="57">
        <v>0</v>
      </c>
      <c r="J16" s="57">
        <v>0</v>
      </c>
      <c r="K16" s="57">
        <v>3</v>
      </c>
      <c r="L16" s="190">
        <f>'TABLE-36'!F13+'TABLE-36'!I13</f>
        <v>1</v>
      </c>
      <c r="M16" s="57">
        <v>9</v>
      </c>
      <c r="N16" s="57">
        <v>2</v>
      </c>
      <c r="O16" s="57">
        <v>16</v>
      </c>
      <c r="P16" s="190">
        <f>'TABLE-36'!L13</f>
        <v>36</v>
      </c>
      <c r="Q16" s="57">
        <v>0</v>
      </c>
      <c r="R16" s="57">
        <v>0</v>
      </c>
      <c r="S16" s="190">
        <f>'TABLE-55'!J15</f>
        <v>6</v>
      </c>
      <c r="T16" s="190">
        <f>'TABLE-55'!K15</f>
        <v>1</v>
      </c>
      <c r="U16" s="190">
        <f>'TABLE-71'!J15</f>
        <v>0</v>
      </c>
      <c r="V16" s="190">
        <f>'TABLE-71'!K15</f>
        <v>0</v>
      </c>
    </row>
    <row r="17" spans="1:22" ht="13.5" customHeight="1">
      <c r="A17" s="115">
        <v>9</v>
      </c>
      <c r="B17" s="116" t="s">
        <v>14</v>
      </c>
      <c r="C17" s="116">
        <v>5168</v>
      </c>
      <c r="D17" s="116">
        <v>3214</v>
      </c>
      <c r="E17" s="116">
        <v>2193</v>
      </c>
      <c r="F17" s="116">
        <v>1871</v>
      </c>
      <c r="G17" s="190">
        <f>'TABLE-75'!M14+'TABLE-76'!M14</f>
        <v>2488</v>
      </c>
      <c r="H17" s="190">
        <f>'TABLE-75'!N14+'TABLE-76'!N14</f>
        <v>1352</v>
      </c>
      <c r="I17" s="116">
        <v>64</v>
      </c>
      <c r="J17" s="116">
        <v>5</v>
      </c>
      <c r="K17" s="116">
        <v>676</v>
      </c>
      <c r="L17" s="190">
        <f>'TABLE-36'!F14+'TABLE-36'!I14</f>
        <v>150</v>
      </c>
      <c r="M17" s="116">
        <v>76</v>
      </c>
      <c r="N17" s="116">
        <v>14</v>
      </c>
      <c r="O17" s="116">
        <v>1043</v>
      </c>
      <c r="P17" s="190">
        <f>'TABLE-36'!L14</f>
        <v>235</v>
      </c>
      <c r="Q17" s="116">
        <v>48</v>
      </c>
      <c r="R17" s="116">
        <v>43</v>
      </c>
      <c r="S17" s="190">
        <f>'TABLE-55'!J16</f>
        <v>178</v>
      </c>
      <c r="T17" s="190">
        <f>'TABLE-55'!K16</f>
        <v>21</v>
      </c>
      <c r="U17" s="190">
        <f>'TABLE-71'!J16</f>
        <v>259</v>
      </c>
      <c r="V17" s="190">
        <f>'TABLE-71'!K16</f>
        <v>49</v>
      </c>
    </row>
    <row r="18" spans="1:22" ht="13.5" customHeight="1">
      <c r="A18" s="115">
        <v>10</v>
      </c>
      <c r="B18" s="116" t="s">
        <v>15</v>
      </c>
      <c r="C18" s="116">
        <v>1784</v>
      </c>
      <c r="D18" s="116">
        <v>837</v>
      </c>
      <c r="E18" s="116">
        <v>621</v>
      </c>
      <c r="F18" s="116">
        <v>224</v>
      </c>
      <c r="G18" s="190">
        <f>'TABLE-75'!M15+'TABLE-76'!M15</f>
        <v>413</v>
      </c>
      <c r="H18" s="190">
        <f>'TABLE-75'!N15+'TABLE-76'!N15</f>
        <v>267</v>
      </c>
      <c r="I18" s="116">
        <v>33</v>
      </c>
      <c r="J18" s="116">
        <v>3</v>
      </c>
      <c r="K18" s="116">
        <v>94</v>
      </c>
      <c r="L18" s="190">
        <f>'TABLE-36'!F15+'TABLE-36'!I15</f>
        <v>1</v>
      </c>
      <c r="M18" s="116">
        <v>70</v>
      </c>
      <c r="N18" s="116">
        <v>66</v>
      </c>
      <c r="O18" s="116">
        <v>177</v>
      </c>
      <c r="P18" s="190">
        <f>'TABLE-36'!L15</f>
        <v>37</v>
      </c>
      <c r="Q18" s="116">
        <v>109</v>
      </c>
      <c r="R18" s="116">
        <v>64</v>
      </c>
      <c r="S18" s="190">
        <f>'TABLE-55'!J17</f>
        <v>11</v>
      </c>
      <c r="T18" s="190">
        <f>'TABLE-55'!K17</f>
        <v>3</v>
      </c>
      <c r="U18" s="190">
        <f>'TABLE-71'!J17</f>
        <v>93</v>
      </c>
      <c r="V18" s="190">
        <f>'TABLE-71'!K17</f>
        <v>19</v>
      </c>
    </row>
    <row r="19" spans="1:22" ht="13.5" customHeight="1">
      <c r="A19" s="115">
        <v>11</v>
      </c>
      <c r="B19" s="116" t="s">
        <v>16</v>
      </c>
      <c r="C19" s="116">
        <v>1949</v>
      </c>
      <c r="D19" s="116">
        <v>704</v>
      </c>
      <c r="E19" s="116">
        <v>16</v>
      </c>
      <c r="F19" s="116">
        <v>3</v>
      </c>
      <c r="G19" s="190">
        <f>'TABLE-75'!M16+'TABLE-76'!M16</f>
        <v>1076</v>
      </c>
      <c r="H19" s="190">
        <f>'TABLE-75'!N16+'TABLE-76'!N16</f>
        <v>771</v>
      </c>
      <c r="I19" s="116">
        <v>28</v>
      </c>
      <c r="J19" s="116">
        <v>3</v>
      </c>
      <c r="K19" s="116">
        <v>13</v>
      </c>
      <c r="L19" s="190">
        <f>'TABLE-36'!F16+'TABLE-36'!I16</f>
        <v>0</v>
      </c>
      <c r="M19" s="116">
        <v>0</v>
      </c>
      <c r="N19" s="116">
        <v>0</v>
      </c>
      <c r="O19" s="116">
        <v>0</v>
      </c>
      <c r="P19" s="190">
        <f>'TABLE-36'!L16</f>
        <v>35</v>
      </c>
      <c r="Q19" s="116">
        <v>4</v>
      </c>
      <c r="R19" s="116">
        <v>1</v>
      </c>
      <c r="S19" s="190">
        <f>'TABLE-55'!J18</f>
        <v>55</v>
      </c>
      <c r="T19" s="190">
        <f>'TABLE-55'!K18</f>
        <v>9</v>
      </c>
      <c r="U19" s="190">
        <f>'TABLE-71'!J18</f>
        <v>0</v>
      </c>
      <c r="V19" s="190">
        <f>'TABLE-71'!K18</f>
        <v>0</v>
      </c>
    </row>
    <row r="20" spans="1:22" ht="13.5" customHeight="1">
      <c r="A20" s="115">
        <v>12</v>
      </c>
      <c r="B20" s="116" t="s">
        <v>17</v>
      </c>
      <c r="C20" s="116">
        <v>8879</v>
      </c>
      <c r="D20" s="116">
        <v>8029</v>
      </c>
      <c r="E20" s="116">
        <v>4621</v>
      </c>
      <c r="F20" s="116">
        <v>5729</v>
      </c>
      <c r="G20" s="190">
        <f>'TABLE-75'!M17+'TABLE-76'!M17</f>
        <v>2791</v>
      </c>
      <c r="H20" s="190">
        <f>'TABLE-75'!N17+'TABLE-76'!N17</f>
        <v>2061</v>
      </c>
      <c r="I20" s="116">
        <v>0</v>
      </c>
      <c r="J20" s="116">
        <v>0</v>
      </c>
      <c r="K20" s="116">
        <v>487</v>
      </c>
      <c r="L20" s="190">
        <f>'TABLE-36'!F17+'TABLE-36'!I17</f>
        <v>204</v>
      </c>
      <c r="M20" s="116">
        <v>40</v>
      </c>
      <c r="N20" s="116">
        <v>8</v>
      </c>
      <c r="O20" s="116">
        <v>1864</v>
      </c>
      <c r="P20" s="190">
        <f>'TABLE-36'!L17</f>
        <v>368</v>
      </c>
      <c r="Q20" s="116">
        <v>81</v>
      </c>
      <c r="R20" s="116">
        <v>77</v>
      </c>
      <c r="S20" s="190">
        <f>'TABLE-55'!J19</f>
        <v>205</v>
      </c>
      <c r="T20" s="190">
        <f>'TABLE-55'!K19</f>
        <v>19</v>
      </c>
      <c r="U20" s="190">
        <f>'TABLE-71'!J19</f>
        <v>611</v>
      </c>
      <c r="V20" s="190">
        <f>'TABLE-71'!K19</f>
        <v>101</v>
      </c>
    </row>
    <row r="21" spans="1:22" ht="13.5" customHeight="1">
      <c r="A21" s="115">
        <v>13</v>
      </c>
      <c r="B21" s="116" t="s">
        <v>164</v>
      </c>
      <c r="C21" s="116">
        <v>3811</v>
      </c>
      <c r="D21" s="116">
        <v>2250</v>
      </c>
      <c r="E21" s="116">
        <v>725</v>
      </c>
      <c r="F21" s="116">
        <v>1044</v>
      </c>
      <c r="G21" s="190">
        <f>'TABLE-75'!M18+'TABLE-76'!M18</f>
        <v>1985</v>
      </c>
      <c r="H21" s="190">
        <f>'TABLE-75'!N18+'TABLE-76'!N18</f>
        <v>900</v>
      </c>
      <c r="I21" s="116">
        <v>0</v>
      </c>
      <c r="J21" s="116">
        <v>0</v>
      </c>
      <c r="K21" s="116">
        <v>171</v>
      </c>
      <c r="L21" s="190">
        <f>'TABLE-36'!F18+'TABLE-36'!I18</f>
        <v>45</v>
      </c>
      <c r="M21" s="116">
        <v>0</v>
      </c>
      <c r="N21" s="116">
        <v>0</v>
      </c>
      <c r="O21" s="116">
        <v>682</v>
      </c>
      <c r="P21" s="190">
        <f>'TABLE-36'!L18</f>
        <v>149</v>
      </c>
      <c r="Q21" s="116">
        <v>45</v>
      </c>
      <c r="R21" s="116">
        <v>43</v>
      </c>
      <c r="S21" s="190">
        <f>'TABLE-55'!J20</f>
        <v>46</v>
      </c>
      <c r="T21" s="190">
        <f>'TABLE-55'!K20</f>
        <v>4</v>
      </c>
      <c r="U21" s="190">
        <f>'TABLE-71'!J20</f>
        <v>157</v>
      </c>
      <c r="V21" s="190">
        <f>'TABLE-71'!K20</f>
        <v>73</v>
      </c>
    </row>
    <row r="22" spans="1:22" ht="13.5" customHeight="1">
      <c r="A22" s="115">
        <v>14</v>
      </c>
      <c r="B22" s="116" t="s">
        <v>77</v>
      </c>
      <c r="C22" s="116">
        <v>92886</v>
      </c>
      <c r="D22" s="116">
        <v>89974</v>
      </c>
      <c r="E22" s="116">
        <v>53514</v>
      </c>
      <c r="F22" s="116">
        <v>44299</v>
      </c>
      <c r="G22" s="190">
        <f>'TABLE-75'!M19+'TABLE-76'!M19</f>
        <v>36585</v>
      </c>
      <c r="H22" s="190">
        <f>'TABLE-75'!N19+'TABLE-76'!N19</f>
        <v>30936</v>
      </c>
      <c r="I22" s="116">
        <v>441</v>
      </c>
      <c r="J22" s="116">
        <v>40</v>
      </c>
      <c r="K22" s="116">
        <v>4152</v>
      </c>
      <c r="L22" s="190">
        <f>'TABLE-36'!F19+'TABLE-36'!I19</f>
        <v>3723</v>
      </c>
      <c r="M22" s="116">
        <v>1629</v>
      </c>
      <c r="N22" s="116">
        <v>991</v>
      </c>
      <c r="O22" s="116">
        <v>3278</v>
      </c>
      <c r="P22" s="190">
        <f>'TABLE-36'!L19</f>
        <v>1029</v>
      </c>
      <c r="Q22" s="116">
        <v>2147</v>
      </c>
      <c r="R22" s="116">
        <v>1254</v>
      </c>
      <c r="S22" s="190">
        <f>'TABLE-55'!J21</f>
        <v>397</v>
      </c>
      <c r="T22" s="190">
        <f>'TABLE-55'!K21</f>
        <v>31</v>
      </c>
      <c r="U22" s="190">
        <f>'TABLE-71'!J21</f>
        <v>1342</v>
      </c>
      <c r="V22" s="190">
        <f>'TABLE-71'!K21</f>
        <v>242</v>
      </c>
    </row>
    <row r="23" spans="1:22" ht="13.5" customHeight="1">
      <c r="A23" s="115">
        <v>15</v>
      </c>
      <c r="B23" s="116" t="s">
        <v>105</v>
      </c>
      <c r="C23" s="116">
        <v>6315</v>
      </c>
      <c r="D23" s="116">
        <v>5304</v>
      </c>
      <c r="E23" s="116">
        <v>1195</v>
      </c>
      <c r="F23" s="116">
        <v>513</v>
      </c>
      <c r="G23" s="190">
        <f>'TABLE-75'!M20+'TABLE-76'!M20</f>
        <v>2898</v>
      </c>
      <c r="H23" s="190">
        <f>'TABLE-75'!N20+'TABLE-76'!N20</f>
        <v>2295</v>
      </c>
      <c r="I23" s="116">
        <v>19</v>
      </c>
      <c r="J23" s="116">
        <v>2</v>
      </c>
      <c r="K23" s="116">
        <v>320</v>
      </c>
      <c r="L23" s="190">
        <f>'TABLE-36'!F20+'TABLE-36'!I20</f>
        <v>112</v>
      </c>
      <c r="M23" s="116">
        <v>1107</v>
      </c>
      <c r="N23" s="116">
        <v>1467</v>
      </c>
      <c r="O23" s="116">
        <v>440</v>
      </c>
      <c r="P23" s="190">
        <f>'TABLE-36'!L20</f>
        <v>79</v>
      </c>
      <c r="Q23" s="116">
        <v>179</v>
      </c>
      <c r="R23" s="116">
        <v>126</v>
      </c>
      <c r="S23" s="190">
        <f>'TABLE-55'!J22</f>
        <v>31</v>
      </c>
      <c r="T23" s="190">
        <f>'TABLE-55'!K22</f>
        <v>3</v>
      </c>
      <c r="U23" s="190">
        <f>'TABLE-71'!J22</f>
        <v>32</v>
      </c>
      <c r="V23" s="190">
        <f>'TABLE-71'!K22</f>
        <v>3</v>
      </c>
    </row>
    <row r="24" spans="1:22" s="101" customFormat="1" ht="13.5" customHeight="1">
      <c r="A24" s="54">
        <v>16</v>
      </c>
      <c r="B24" s="57" t="s">
        <v>20</v>
      </c>
      <c r="C24" s="57">
        <v>31876</v>
      </c>
      <c r="D24" s="57">
        <v>29891</v>
      </c>
      <c r="E24" s="57">
        <v>18996</v>
      </c>
      <c r="F24" s="57">
        <v>5386</v>
      </c>
      <c r="G24" s="190">
        <f>'TABLE-75'!M21+'TABLE-76'!M21</f>
        <v>12080</v>
      </c>
      <c r="H24" s="190">
        <f>'TABLE-75'!N21+'TABLE-76'!N21</f>
        <v>8005</v>
      </c>
      <c r="I24" s="57">
        <v>3257</v>
      </c>
      <c r="J24" s="57">
        <v>484</v>
      </c>
      <c r="K24" s="57">
        <v>2022</v>
      </c>
      <c r="L24" s="190">
        <f>'TABLE-36'!F21+'TABLE-36'!I21</f>
        <v>3045</v>
      </c>
      <c r="M24" s="57">
        <v>7745</v>
      </c>
      <c r="N24" s="57">
        <v>2109</v>
      </c>
      <c r="O24" s="57">
        <v>2279</v>
      </c>
      <c r="P24" s="190">
        <f>'TABLE-36'!L21</f>
        <v>989</v>
      </c>
      <c r="Q24" s="57">
        <v>1025</v>
      </c>
      <c r="R24" s="57">
        <v>1311</v>
      </c>
      <c r="S24" s="190">
        <f>'TABLE-55'!J23</f>
        <v>823</v>
      </c>
      <c r="T24" s="190">
        <f>'TABLE-55'!K23</f>
        <v>409</v>
      </c>
      <c r="U24" s="190">
        <f>'TABLE-71'!J23</f>
        <v>1127</v>
      </c>
      <c r="V24" s="190">
        <f>'TABLE-71'!K23</f>
        <v>655</v>
      </c>
    </row>
    <row r="25" spans="1:22" ht="13.5" customHeight="1">
      <c r="A25" s="115">
        <v>17</v>
      </c>
      <c r="B25" s="116" t="s">
        <v>21</v>
      </c>
      <c r="C25" s="116">
        <v>60914</v>
      </c>
      <c r="D25" s="116">
        <v>32294</v>
      </c>
      <c r="E25" s="116">
        <v>24624</v>
      </c>
      <c r="F25" s="116">
        <v>16209</v>
      </c>
      <c r="G25" s="190">
        <f>'TABLE-75'!M22+'TABLE-76'!M22</f>
        <v>24384</v>
      </c>
      <c r="H25" s="190">
        <f>'TABLE-75'!N22+'TABLE-76'!N22</f>
        <v>13340</v>
      </c>
      <c r="I25" s="116">
        <v>123</v>
      </c>
      <c r="J25" s="116">
        <v>32</v>
      </c>
      <c r="K25" s="116">
        <v>4414</v>
      </c>
      <c r="L25" s="190">
        <f>'TABLE-36'!F22+'TABLE-36'!I22</f>
        <v>2164</v>
      </c>
      <c r="M25" s="116">
        <v>69</v>
      </c>
      <c r="N25" s="116">
        <v>22</v>
      </c>
      <c r="O25" s="116">
        <v>3986</v>
      </c>
      <c r="P25" s="190">
        <f>'TABLE-36'!L22</f>
        <v>1061</v>
      </c>
      <c r="Q25" s="116">
        <v>926</v>
      </c>
      <c r="R25" s="116">
        <v>1200</v>
      </c>
      <c r="S25" s="190">
        <f>'TABLE-55'!J24</f>
        <v>1387</v>
      </c>
      <c r="T25" s="190">
        <f>'TABLE-55'!K24</f>
        <v>312</v>
      </c>
      <c r="U25" s="190">
        <f>'TABLE-71'!J24</f>
        <v>568</v>
      </c>
      <c r="V25" s="190">
        <f>'TABLE-71'!K24</f>
        <v>135</v>
      </c>
    </row>
    <row r="26" spans="1:22" ht="13.5" customHeight="1">
      <c r="A26" s="115">
        <v>18</v>
      </c>
      <c r="B26" s="116" t="s">
        <v>19</v>
      </c>
      <c r="C26" s="116">
        <v>210</v>
      </c>
      <c r="D26" s="116">
        <v>212</v>
      </c>
      <c r="E26" s="116">
        <v>0</v>
      </c>
      <c r="F26" s="116">
        <v>0</v>
      </c>
      <c r="G26" s="190">
        <f>'TABLE-75'!M23+'TABLE-76'!M23</f>
        <v>159</v>
      </c>
      <c r="H26" s="190">
        <f>'TABLE-75'!N23+'TABLE-76'!N23</f>
        <v>199</v>
      </c>
      <c r="I26" s="116">
        <v>0</v>
      </c>
      <c r="J26" s="116">
        <v>0</v>
      </c>
      <c r="K26" s="116">
        <v>28</v>
      </c>
      <c r="L26" s="190">
        <f>'TABLE-36'!F23+'TABLE-36'!I23</f>
        <v>0</v>
      </c>
      <c r="M26" s="116">
        <v>35</v>
      </c>
      <c r="N26" s="116">
        <v>10</v>
      </c>
      <c r="O26" s="116">
        <v>15</v>
      </c>
      <c r="P26" s="190">
        <f>'TABLE-36'!L23</f>
        <v>4</v>
      </c>
      <c r="Q26" s="116">
        <v>15</v>
      </c>
      <c r="R26" s="116">
        <v>3</v>
      </c>
      <c r="S26" s="190">
        <f>'TABLE-55'!J25</f>
        <v>0</v>
      </c>
      <c r="T26" s="190">
        <f>'TABLE-55'!K25</f>
        <v>0</v>
      </c>
      <c r="U26" s="190">
        <f>'TABLE-71'!J25</f>
        <v>15</v>
      </c>
      <c r="V26" s="190">
        <f>'TABLE-71'!K25</f>
        <v>3</v>
      </c>
    </row>
    <row r="27" spans="1:22" ht="13.5" customHeight="1">
      <c r="A27" s="115">
        <v>19</v>
      </c>
      <c r="B27" s="116" t="s">
        <v>124</v>
      </c>
      <c r="C27" s="116">
        <v>1161</v>
      </c>
      <c r="D27" s="116">
        <v>1560</v>
      </c>
      <c r="E27" s="116">
        <v>378</v>
      </c>
      <c r="F27" s="116">
        <v>674</v>
      </c>
      <c r="G27" s="190">
        <f>'TABLE-75'!M24+'TABLE-76'!M24</f>
        <v>489</v>
      </c>
      <c r="H27" s="190">
        <f>'TABLE-75'!N24+'TABLE-76'!N24</f>
        <v>706</v>
      </c>
      <c r="I27" s="116">
        <v>41</v>
      </c>
      <c r="J27" s="116">
        <v>5</v>
      </c>
      <c r="K27" s="116">
        <v>83</v>
      </c>
      <c r="L27" s="190">
        <f>'TABLE-36'!F24+'TABLE-36'!I24</f>
        <v>94</v>
      </c>
      <c r="M27" s="116">
        <v>4</v>
      </c>
      <c r="N27" s="116">
        <v>3</v>
      </c>
      <c r="O27" s="116">
        <v>28</v>
      </c>
      <c r="P27" s="190">
        <f>'TABLE-36'!L24</f>
        <v>4</v>
      </c>
      <c r="Q27" s="116">
        <v>29</v>
      </c>
      <c r="R27" s="116">
        <v>13</v>
      </c>
      <c r="S27" s="190">
        <f>'TABLE-55'!J26</f>
        <v>22</v>
      </c>
      <c r="T27" s="190">
        <f>'TABLE-55'!K26</f>
        <v>4</v>
      </c>
      <c r="U27" s="190">
        <f>'TABLE-71'!J26</f>
        <v>105</v>
      </c>
      <c r="V27" s="190">
        <f>'TABLE-71'!K26</f>
        <v>119</v>
      </c>
    </row>
    <row r="28" spans="1:22" s="327" customFormat="1" ht="13.5" customHeight="1">
      <c r="A28" s="325"/>
      <c r="B28" s="326" t="s">
        <v>224</v>
      </c>
      <c r="C28" s="326">
        <f>SUM(C9:C27)</f>
        <v>579094</v>
      </c>
      <c r="D28" s="326">
        <f aca="true" t="shared" si="0" ref="D28:V28">SUM(D9:D27)</f>
        <v>398145</v>
      </c>
      <c r="E28" s="326">
        <f t="shared" si="0"/>
        <v>331523</v>
      </c>
      <c r="F28" s="326">
        <f t="shared" si="0"/>
        <v>219611</v>
      </c>
      <c r="G28" s="326">
        <f t="shared" si="0"/>
        <v>231798</v>
      </c>
      <c r="H28" s="326">
        <f t="shared" si="0"/>
        <v>142101</v>
      </c>
      <c r="I28" s="326">
        <f t="shared" si="0"/>
        <v>5763</v>
      </c>
      <c r="J28" s="326">
        <f t="shared" si="0"/>
        <v>803</v>
      </c>
      <c r="K28" s="326">
        <f t="shared" si="0"/>
        <v>73108</v>
      </c>
      <c r="L28" s="197">
        <f t="shared" si="0"/>
        <v>31906</v>
      </c>
      <c r="M28" s="326">
        <f t="shared" si="0"/>
        <v>23951</v>
      </c>
      <c r="N28" s="326">
        <f t="shared" si="0"/>
        <v>15564</v>
      </c>
      <c r="O28" s="326">
        <f t="shared" si="0"/>
        <v>36102</v>
      </c>
      <c r="P28" s="197">
        <f>SUM(P9:P27)</f>
        <v>12198</v>
      </c>
      <c r="Q28" s="326">
        <f t="shared" si="0"/>
        <v>15071</v>
      </c>
      <c r="R28" s="326">
        <f t="shared" si="0"/>
        <v>12120</v>
      </c>
      <c r="S28" s="197">
        <f t="shared" si="0"/>
        <v>8143</v>
      </c>
      <c r="T28" s="197">
        <f t="shared" si="0"/>
        <v>2720</v>
      </c>
      <c r="U28" s="197">
        <f t="shared" si="0"/>
        <v>10548</v>
      </c>
      <c r="V28" s="197">
        <f t="shared" si="0"/>
        <v>3604</v>
      </c>
    </row>
    <row r="29" spans="1:22" ht="13.5" customHeight="1">
      <c r="A29" s="54">
        <v>20</v>
      </c>
      <c r="B29" s="116" t="s">
        <v>23</v>
      </c>
      <c r="C29" s="116">
        <v>48</v>
      </c>
      <c r="D29" s="116">
        <v>35</v>
      </c>
      <c r="E29" s="116">
        <v>0</v>
      </c>
      <c r="F29" s="116">
        <v>0</v>
      </c>
      <c r="G29" s="190">
        <f>'TABLE-75'!M26+'TABLE-76'!M26</f>
        <v>36</v>
      </c>
      <c r="H29" s="190">
        <f>'TABLE-75'!N26+'TABLE-76'!N26</f>
        <v>33</v>
      </c>
      <c r="I29" s="116">
        <v>5</v>
      </c>
      <c r="J29" s="116">
        <v>1</v>
      </c>
      <c r="K29" s="116">
        <v>0</v>
      </c>
      <c r="L29" s="190">
        <f>'TABLE-36'!F26+'TABLE-36'!I26</f>
        <v>0</v>
      </c>
      <c r="M29" s="116">
        <v>0</v>
      </c>
      <c r="N29" s="116">
        <v>0</v>
      </c>
      <c r="O29" s="116">
        <v>0</v>
      </c>
      <c r="P29" s="190">
        <f>'TABLE-36'!L26</f>
        <v>4</v>
      </c>
      <c r="Q29" s="116">
        <v>0</v>
      </c>
      <c r="R29" s="116">
        <v>0</v>
      </c>
      <c r="S29" s="190">
        <f>'TABLE-55'!J28</f>
        <v>0</v>
      </c>
      <c r="T29" s="190">
        <f>'TABLE-55'!K28</f>
        <v>0</v>
      </c>
      <c r="U29" s="190">
        <f>'TABLE-71'!J28</f>
        <v>0</v>
      </c>
      <c r="V29" s="190">
        <f>'TABLE-71'!K28</f>
        <v>0</v>
      </c>
    </row>
    <row r="30" spans="1:22" ht="13.5" customHeight="1">
      <c r="A30" s="54">
        <v>21</v>
      </c>
      <c r="B30" s="116" t="s">
        <v>269</v>
      </c>
      <c r="C30" s="116">
        <v>0</v>
      </c>
      <c r="D30" s="116">
        <v>0</v>
      </c>
      <c r="E30" s="116">
        <v>0</v>
      </c>
      <c r="F30" s="116">
        <v>0</v>
      </c>
      <c r="G30" s="190">
        <f>'TABLE-75'!M27+'TABLE-76'!M27</f>
        <v>66</v>
      </c>
      <c r="H30" s="190">
        <f>'TABLE-75'!N27+'TABLE-76'!N27</f>
        <v>147</v>
      </c>
      <c r="I30" s="116">
        <v>6</v>
      </c>
      <c r="J30" s="116">
        <v>1</v>
      </c>
      <c r="K30" s="116">
        <v>0</v>
      </c>
      <c r="L30" s="190">
        <f>'TABLE-36'!F27+'TABLE-36'!I27</f>
        <v>0</v>
      </c>
      <c r="M30" s="116">
        <v>0</v>
      </c>
      <c r="N30" s="116">
        <v>0</v>
      </c>
      <c r="O30" s="116">
        <v>18</v>
      </c>
      <c r="P30" s="190">
        <f>'TABLE-36'!L27</f>
        <v>2</v>
      </c>
      <c r="Q30" s="116">
        <v>0</v>
      </c>
      <c r="R30" s="116">
        <v>0</v>
      </c>
      <c r="S30" s="190">
        <f>'TABLE-55'!J29</f>
        <v>0</v>
      </c>
      <c r="T30" s="190">
        <f>'TABLE-55'!K29</f>
        <v>0</v>
      </c>
      <c r="U30" s="190">
        <f>'TABLE-71'!J29</f>
        <v>1</v>
      </c>
      <c r="V30" s="190">
        <f>'TABLE-71'!K29</f>
        <v>0</v>
      </c>
    </row>
    <row r="31" spans="1:22" ht="13.5" customHeight="1">
      <c r="A31" s="54">
        <v>22</v>
      </c>
      <c r="B31" s="116" t="s">
        <v>169</v>
      </c>
      <c r="C31" s="116">
        <v>541</v>
      </c>
      <c r="D31" s="116">
        <v>565</v>
      </c>
      <c r="E31" s="116">
        <v>0</v>
      </c>
      <c r="F31" s="116">
        <v>0</v>
      </c>
      <c r="G31" s="190">
        <f>'TABLE-75'!M28+'TABLE-76'!M28</f>
        <v>259</v>
      </c>
      <c r="H31" s="190">
        <f>'TABLE-75'!N28+'TABLE-76'!N28</f>
        <v>187</v>
      </c>
      <c r="I31" s="116">
        <v>12</v>
      </c>
      <c r="J31" s="116">
        <v>5</v>
      </c>
      <c r="K31" s="116">
        <v>40</v>
      </c>
      <c r="L31" s="190">
        <f>'TABLE-36'!F28+'TABLE-36'!I28</f>
        <v>21</v>
      </c>
      <c r="M31" s="116">
        <v>0</v>
      </c>
      <c r="N31" s="116">
        <v>0</v>
      </c>
      <c r="O31" s="116">
        <v>24</v>
      </c>
      <c r="P31" s="190">
        <f>'TABLE-36'!L28</f>
        <v>5</v>
      </c>
      <c r="Q31" s="116">
        <v>63</v>
      </c>
      <c r="R31" s="116">
        <v>24</v>
      </c>
      <c r="S31" s="190">
        <f>'TABLE-55'!J30</f>
        <v>44</v>
      </c>
      <c r="T31" s="190">
        <f>'TABLE-55'!K30</f>
        <v>8</v>
      </c>
      <c r="U31" s="190">
        <f>'TABLE-71'!J30</f>
        <v>0</v>
      </c>
      <c r="V31" s="190">
        <f>'TABLE-71'!K30</f>
        <v>0</v>
      </c>
    </row>
    <row r="32" spans="1:22" ht="13.5" customHeight="1">
      <c r="A32" s="54">
        <v>23</v>
      </c>
      <c r="B32" s="116" t="s">
        <v>22</v>
      </c>
      <c r="C32" s="116">
        <v>0</v>
      </c>
      <c r="D32" s="116">
        <v>0</v>
      </c>
      <c r="E32" s="116">
        <v>0</v>
      </c>
      <c r="F32" s="116">
        <v>0</v>
      </c>
      <c r="G32" s="190">
        <f>'TABLE-75'!M29+'TABLE-76'!M29</f>
        <v>88</v>
      </c>
      <c r="H32" s="190">
        <f>'TABLE-75'!N29+'TABLE-76'!N29</f>
        <v>57</v>
      </c>
      <c r="I32" s="116">
        <v>0</v>
      </c>
      <c r="J32" s="116">
        <v>0</v>
      </c>
      <c r="K32" s="116">
        <v>0</v>
      </c>
      <c r="L32" s="190">
        <f>'TABLE-36'!F29+'TABLE-36'!I29</f>
        <v>0</v>
      </c>
      <c r="M32" s="116">
        <v>0</v>
      </c>
      <c r="N32" s="116">
        <v>0</v>
      </c>
      <c r="O32" s="116">
        <v>45</v>
      </c>
      <c r="P32" s="190">
        <f>'TABLE-36'!L29</f>
        <v>19</v>
      </c>
      <c r="Q32" s="116">
        <v>0</v>
      </c>
      <c r="R32" s="116">
        <v>0</v>
      </c>
      <c r="S32" s="190">
        <f>'TABLE-55'!J31</f>
        <v>12</v>
      </c>
      <c r="T32" s="190">
        <f>'TABLE-55'!K31</f>
        <v>4</v>
      </c>
      <c r="U32" s="190">
        <f>'TABLE-71'!J31</f>
        <v>46</v>
      </c>
      <c r="V32" s="190">
        <f>'TABLE-71'!K31</f>
        <v>16</v>
      </c>
    </row>
    <row r="33" spans="1:22" s="101" customFormat="1" ht="13.5" customHeight="1">
      <c r="A33" s="54">
        <v>24</v>
      </c>
      <c r="B33" s="57" t="s">
        <v>141</v>
      </c>
      <c r="C33" s="57">
        <v>636</v>
      </c>
      <c r="D33" s="57">
        <v>242</v>
      </c>
      <c r="E33" s="57">
        <v>23</v>
      </c>
      <c r="F33" s="57">
        <v>16</v>
      </c>
      <c r="G33" s="190">
        <f>'TABLE-75'!M30+'TABLE-76'!M30</f>
        <v>393</v>
      </c>
      <c r="H33" s="190">
        <f>'TABLE-75'!N30+'TABLE-76'!N30</f>
        <v>327</v>
      </c>
      <c r="I33" s="57">
        <v>172</v>
      </c>
      <c r="J33" s="57">
        <v>68</v>
      </c>
      <c r="K33" s="57">
        <v>0</v>
      </c>
      <c r="L33" s="190">
        <f>'TABLE-36'!F30+'TABLE-36'!I30</f>
        <v>0</v>
      </c>
      <c r="M33" s="57">
        <v>54</v>
      </c>
      <c r="N33" s="57">
        <v>17</v>
      </c>
      <c r="O33" s="57">
        <v>150</v>
      </c>
      <c r="P33" s="190">
        <f>'TABLE-36'!L30</f>
        <v>28</v>
      </c>
      <c r="Q33" s="57">
        <v>0</v>
      </c>
      <c r="R33" s="57">
        <v>0</v>
      </c>
      <c r="S33" s="190">
        <f>'TABLE-55'!J32</f>
        <v>19</v>
      </c>
      <c r="T33" s="190">
        <f>'TABLE-55'!K32</f>
        <v>2</v>
      </c>
      <c r="U33" s="190">
        <f>'TABLE-71'!J32</f>
        <v>56</v>
      </c>
      <c r="V33" s="190">
        <f>'TABLE-71'!K32</f>
        <v>12</v>
      </c>
    </row>
    <row r="34" spans="1:22" ht="13.5" customHeight="1">
      <c r="A34" s="54">
        <v>25</v>
      </c>
      <c r="B34" s="116" t="s">
        <v>18</v>
      </c>
      <c r="C34" s="116">
        <v>310922</v>
      </c>
      <c r="D34" s="116">
        <v>249940</v>
      </c>
      <c r="E34" s="116">
        <v>281766</v>
      </c>
      <c r="F34" s="116">
        <v>242473</v>
      </c>
      <c r="G34" s="190">
        <f>'TABLE-75'!M31+'TABLE-76'!M31</f>
        <v>75972</v>
      </c>
      <c r="H34" s="190">
        <f>'TABLE-75'!N31+'TABLE-76'!N31</f>
        <v>34618</v>
      </c>
      <c r="I34" s="116">
        <v>248</v>
      </c>
      <c r="J34" s="116">
        <v>32</v>
      </c>
      <c r="K34" s="116">
        <v>30841</v>
      </c>
      <c r="L34" s="190">
        <f>'TABLE-36'!F31+'TABLE-36'!I31</f>
        <v>11312</v>
      </c>
      <c r="M34" s="116">
        <v>2015</v>
      </c>
      <c r="N34" s="116">
        <v>573</v>
      </c>
      <c r="O34" s="116">
        <v>8895</v>
      </c>
      <c r="P34" s="190">
        <f>'TABLE-36'!L31</f>
        <v>2577</v>
      </c>
      <c r="Q34" s="116">
        <v>37016</v>
      </c>
      <c r="R34" s="116">
        <v>12112</v>
      </c>
      <c r="S34" s="190">
        <f>'TABLE-55'!J33</f>
        <v>2613</v>
      </c>
      <c r="T34" s="190">
        <f>'TABLE-55'!K33</f>
        <v>128</v>
      </c>
      <c r="U34" s="190">
        <f>'TABLE-71'!J33</f>
        <v>2472</v>
      </c>
      <c r="V34" s="190">
        <f>'TABLE-71'!K33</f>
        <v>714</v>
      </c>
    </row>
    <row r="35" spans="1:22" ht="13.5" customHeight="1">
      <c r="A35" s="54">
        <v>26</v>
      </c>
      <c r="B35" s="116" t="s">
        <v>104</v>
      </c>
      <c r="C35" s="116">
        <v>202350</v>
      </c>
      <c r="D35" s="116">
        <v>197069</v>
      </c>
      <c r="E35" s="116">
        <v>84535</v>
      </c>
      <c r="F35" s="116">
        <v>19058</v>
      </c>
      <c r="G35" s="190">
        <f>'TABLE-75'!M32+'TABLE-76'!M32</f>
        <v>90264</v>
      </c>
      <c r="H35" s="190">
        <f>'TABLE-75'!N32+'TABLE-76'!N32</f>
        <v>48750</v>
      </c>
      <c r="I35" s="116">
        <v>6705</v>
      </c>
      <c r="J35" s="116">
        <v>1380</v>
      </c>
      <c r="K35" s="116">
        <v>14926</v>
      </c>
      <c r="L35" s="190">
        <f>'TABLE-36'!F32+'TABLE-36'!I32</f>
        <v>5383</v>
      </c>
      <c r="M35" s="116">
        <v>7983</v>
      </c>
      <c r="N35" s="116">
        <v>3828</v>
      </c>
      <c r="O35" s="116">
        <v>7911</v>
      </c>
      <c r="P35" s="190">
        <f>'TABLE-36'!L32</f>
        <v>3197</v>
      </c>
      <c r="Q35" s="116">
        <v>5051</v>
      </c>
      <c r="R35" s="116">
        <v>4539</v>
      </c>
      <c r="S35" s="190">
        <f>'TABLE-55'!J34</f>
        <v>1197</v>
      </c>
      <c r="T35" s="190">
        <f>'TABLE-55'!K34</f>
        <v>661</v>
      </c>
      <c r="U35" s="190">
        <f>'TABLE-71'!J34</f>
        <v>6188</v>
      </c>
      <c r="V35" s="190">
        <f>'TABLE-71'!K34</f>
        <v>1929</v>
      </c>
    </row>
    <row r="36" spans="1:22" s="327" customFormat="1" ht="13.5" customHeight="1">
      <c r="A36" s="325"/>
      <c r="B36" s="326" t="s">
        <v>226</v>
      </c>
      <c r="C36" s="326">
        <f aca="true" t="shared" si="1" ref="C36:V36">SUM(C29:C35)</f>
        <v>514497</v>
      </c>
      <c r="D36" s="326">
        <f t="shared" si="1"/>
        <v>447851</v>
      </c>
      <c r="E36" s="326">
        <f t="shared" si="1"/>
        <v>366324</v>
      </c>
      <c r="F36" s="326">
        <f t="shared" si="1"/>
        <v>261547</v>
      </c>
      <c r="G36" s="249">
        <f>'TABLE-75'!M33+'TABLE-76'!M33</f>
        <v>167078</v>
      </c>
      <c r="H36" s="197">
        <f t="shared" si="1"/>
        <v>84119</v>
      </c>
      <c r="I36" s="326">
        <f t="shared" si="1"/>
        <v>7148</v>
      </c>
      <c r="J36" s="326">
        <f t="shared" si="1"/>
        <v>1487</v>
      </c>
      <c r="K36" s="326">
        <f>SUM(K29:K35)</f>
        <v>45807</v>
      </c>
      <c r="L36" s="197">
        <f>SUM(L29:L35)</f>
        <v>16716</v>
      </c>
      <c r="M36" s="326">
        <f t="shared" si="1"/>
        <v>10052</v>
      </c>
      <c r="N36" s="326">
        <f t="shared" si="1"/>
        <v>4418</v>
      </c>
      <c r="O36" s="326">
        <f t="shared" si="1"/>
        <v>17043</v>
      </c>
      <c r="P36" s="197">
        <f t="shared" si="1"/>
        <v>5832</v>
      </c>
      <c r="Q36" s="326">
        <f t="shared" si="1"/>
        <v>42130</v>
      </c>
      <c r="R36" s="326">
        <f t="shared" si="1"/>
        <v>16675</v>
      </c>
      <c r="S36" s="197">
        <f t="shared" si="1"/>
        <v>3885</v>
      </c>
      <c r="T36" s="197">
        <f t="shared" si="1"/>
        <v>803</v>
      </c>
      <c r="U36" s="197">
        <f t="shared" si="1"/>
        <v>8763</v>
      </c>
      <c r="V36" s="197">
        <f t="shared" si="1"/>
        <v>2671</v>
      </c>
    </row>
    <row r="37" spans="1:22" ht="13.5" customHeight="1">
      <c r="A37" s="54">
        <v>27</v>
      </c>
      <c r="B37" s="116" t="s">
        <v>163</v>
      </c>
      <c r="C37" s="116">
        <v>1015</v>
      </c>
      <c r="D37" s="116">
        <v>590</v>
      </c>
      <c r="E37" s="116">
        <v>595</v>
      </c>
      <c r="F37" s="116">
        <v>373</v>
      </c>
      <c r="G37" s="190">
        <f>'TABLE-75'!M34+'TABLE-76'!M34</f>
        <v>494</v>
      </c>
      <c r="H37" s="190">
        <f>'TABLE-75'!N34+'TABLE-76'!N34</f>
        <v>253</v>
      </c>
      <c r="I37" s="116">
        <v>0</v>
      </c>
      <c r="J37" s="116">
        <v>0</v>
      </c>
      <c r="K37" s="116">
        <v>10</v>
      </c>
      <c r="L37" s="190">
        <f>'TABLE-36'!F34+'TABLE-36'!I34</f>
        <v>30</v>
      </c>
      <c r="M37" s="116">
        <v>125</v>
      </c>
      <c r="N37" s="116">
        <v>30</v>
      </c>
      <c r="O37" s="116">
        <v>10</v>
      </c>
      <c r="P37" s="190">
        <f>'TABLE-36'!L34</f>
        <v>48</v>
      </c>
      <c r="Q37" s="116">
        <v>203</v>
      </c>
      <c r="R37" s="116">
        <v>48</v>
      </c>
      <c r="S37" s="190">
        <f>'TABLE-55'!J36</f>
        <v>0</v>
      </c>
      <c r="T37" s="190">
        <f>'TABLE-55'!K36</f>
        <v>0</v>
      </c>
      <c r="U37" s="190">
        <f>'TABLE-71'!J36</f>
        <v>0</v>
      </c>
      <c r="V37" s="190">
        <f>'TABLE-71'!K36</f>
        <v>0</v>
      </c>
    </row>
    <row r="38" spans="1:22" s="101" customFormat="1" ht="13.5" customHeight="1">
      <c r="A38" s="54">
        <v>28</v>
      </c>
      <c r="B38" s="57" t="s">
        <v>231</v>
      </c>
      <c r="C38" s="57">
        <v>497</v>
      </c>
      <c r="D38" s="57">
        <v>141</v>
      </c>
      <c r="E38" s="57">
        <v>513</v>
      </c>
      <c r="F38" s="57">
        <v>127</v>
      </c>
      <c r="G38" s="190">
        <f>'TABLE-75'!M35+'TABLE-76'!M35</f>
        <v>474</v>
      </c>
      <c r="H38" s="190">
        <f>'TABLE-75'!N35+'TABLE-76'!N35</f>
        <v>133</v>
      </c>
      <c r="I38" s="57">
        <v>0</v>
      </c>
      <c r="J38" s="57">
        <v>0</v>
      </c>
      <c r="K38" s="57">
        <v>0</v>
      </c>
      <c r="L38" s="190">
        <f>'TABLE-36'!F35+'TABLE-36'!I35</f>
        <v>0</v>
      </c>
      <c r="M38" s="57">
        <v>0</v>
      </c>
      <c r="N38" s="57">
        <v>0</v>
      </c>
      <c r="O38" s="57">
        <v>0</v>
      </c>
      <c r="P38" s="190">
        <f>'TABLE-36'!L35</f>
        <v>0</v>
      </c>
      <c r="Q38" s="57">
        <v>0</v>
      </c>
      <c r="R38" s="57">
        <v>0</v>
      </c>
      <c r="S38" s="190">
        <f>'TABLE-55'!J37</f>
        <v>0</v>
      </c>
      <c r="T38" s="190">
        <f>'TABLE-55'!K37</f>
        <v>0</v>
      </c>
      <c r="U38" s="190">
        <f>'TABLE-71'!J37</f>
        <v>0</v>
      </c>
      <c r="V38" s="190">
        <f>'TABLE-71'!K37</f>
        <v>0</v>
      </c>
    </row>
    <row r="39" spans="1:22" ht="13.5" customHeight="1">
      <c r="A39" s="54">
        <v>29</v>
      </c>
      <c r="B39" s="116" t="s">
        <v>218</v>
      </c>
      <c r="C39" s="116">
        <v>1946</v>
      </c>
      <c r="D39" s="116">
        <v>4770</v>
      </c>
      <c r="E39" s="116">
        <v>0</v>
      </c>
      <c r="F39" s="116">
        <v>0</v>
      </c>
      <c r="G39" s="190">
        <f>'TABLE-75'!M36+'TABLE-76'!M36</f>
        <v>1165</v>
      </c>
      <c r="H39" s="190">
        <f>'TABLE-75'!N36+'TABLE-76'!N36</f>
        <v>3361</v>
      </c>
      <c r="I39" s="116">
        <v>0</v>
      </c>
      <c r="J39" s="116">
        <v>0</v>
      </c>
      <c r="K39" s="116">
        <v>0</v>
      </c>
      <c r="L39" s="190">
        <f>'TABLE-36'!F36+'TABLE-36'!I36</f>
        <v>0</v>
      </c>
      <c r="M39" s="116">
        <v>0</v>
      </c>
      <c r="N39" s="116">
        <v>0</v>
      </c>
      <c r="O39" s="116">
        <v>0</v>
      </c>
      <c r="P39" s="190">
        <f>'TABLE-36'!L36</f>
        <v>0</v>
      </c>
      <c r="Q39" s="116">
        <v>0</v>
      </c>
      <c r="R39" s="116">
        <v>0</v>
      </c>
      <c r="S39" s="190">
        <f>'TABLE-55'!J38</f>
        <v>0</v>
      </c>
      <c r="T39" s="190">
        <f>'TABLE-55'!K38</f>
        <v>0</v>
      </c>
      <c r="U39" s="190">
        <f>'TABLE-71'!J38</f>
        <v>0</v>
      </c>
      <c r="V39" s="190">
        <f>'TABLE-71'!K38</f>
        <v>0</v>
      </c>
    </row>
    <row r="40" spans="1:22" ht="13.5" customHeight="1">
      <c r="A40" s="54">
        <v>30</v>
      </c>
      <c r="B40" s="116" t="s">
        <v>236</v>
      </c>
      <c r="C40" s="116">
        <v>392</v>
      </c>
      <c r="D40" s="116">
        <v>215</v>
      </c>
      <c r="E40" s="116">
        <v>16</v>
      </c>
      <c r="F40" s="116">
        <v>5</v>
      </c>
      <c r="G40" s="190">
        <f>'TABLE-75'!M37+'TABLE-76'!M37</f>
        <v>92</v>
      </c>
      <c r="H40" s="190">
        <f>'TABLE-75'!N37+'TABLE-76'!N37</f>
        <v>36</v>
      </c>
      <c r="I40" s="116">
        <v>0</v>
      </c>
      <c r="J40" s="116">
        <v>0</v>
      </c>
      <c r="K40" s="116">
        <v>22</v>
      </c>
      <c r="L40" s="190">
        <f>'TABLE-36'!F37+'TABLE-36'!I37</f>
        <v>70</v>
      </c>
      <c r="M40" s="116">
        <v>0</v>
      </c>
      <c r="N40" s="116">
        <v>0</v>
      </c>
      <c r="O40" s="116">
        <v>52</v>
      </c>
      <c r="P40" s="190">
        <f>'TABLE-36'!L37</f>
        <v>28</v>
      </c>
      <c r="Q40" s="116">
        <v>5</v>
      </c>
      <c r="R40" s="116">
        <v>0</v>
      </c>
      <c r="S40" s="190">
        <f>'TABLE-55'!J39</f>
        <v>0</v>
      </c>
      <c r="T40" s="190">
        <f>'TABLE-55'!K39</f>
        <v>0</v>
      </c>
      <c r="U40" s="190">
        <f>'TABLE-71'!J39</f>
        <v>32</v>
      </c>
      <c r="V40" s="190">
        <f>'TABLE-71'!K39</f>
        <v>8</v>
      </c>
    </row>
    <row r="41" spans="1:22" s="101" customFormat="1" ht="13.5" customHeight="1">
      <c r="A41" s="54">
        <v>31</v>
      </c>
      <c r="B41" s="57" t="s">
        <v>219</v>
      </c>
      <c r="C41" s="57">
        <v>0</v>
      </c>
      <c r="D41" s="57">
        <v>0</v>
      </c>
      <c r="E41" s="57">
        <v>0</v>
      </c>
      <c r="F41" s="57">
        <v>0</v>
      </c>
      <c r="G41" s="190">
        <f>'TABLE-75'!M38+'TABLE-76'!M38</f>
        <v>0</v>
      </c>
      <c r="H41" s="190">
        <f>'TABLE-75'!N38+'TABLE-76'!N38</f>
        <v>0</v>
      </c>
      <c r="I41" s="57">
        <v>0</v>
      </c>
      <c r="J41" s="57">
        <v>0</v>
      </c>
      <c r="K41" s="57">
        <v>0</v>
      </c>
      <c r="L41" s="190">
        <f>'TABLE-36'!F38+'TABLE-36'!I38</f>
        <v>0</v>
      </c>
      <c r="M41" s="57">
        <v>0</v>
      </c>
      <c r="N41" s="57">
        <v>0</v>
      </c>
      <c r="O41" s="57">
        <v>0</v>
      </c>
      <c r="P41" s="190">
        <f>'TABLE-36'!L38</f>
        <v>0</v>
      </c>
      <c r="Q41" s="57">
        <v>0</v>
      </c>
      <c r="R41" s="57">
        <v>0</v>
      </c>
      <c r="S41" s="190">
        <f>'TABLE-55'!J40</f>
        <v>0</v>
      </c>
      <c r="T41" s="190">
        <f>'TABLE-55'!K40</f>
        <v>0</v>
      </c>
      <c r="U41" s="190">
        <f>'TABLE-71'!J40</f>
        <v>0</v>
      </c>
      <c r="V41" s="190">
        <f>'TABLE-71'!K40</f>
        <v>0</v>
      </c>
    </row>
    <row r="42" spans="1:22" ht="13.5" customHeight="1">
      <c r="A42" s="54">
        <v>32</v>
      </c>
      <c r="B42" s="116" t="s">
        <v>220</v>
      </c>
      <c r="C42" s="116">
        <v>0</v>
      </c>
      <c r="D42" s="116">
        <v>0</v>
      </c>
      <c r="E42" s="116">
        <v>0</v>
      </c>
      <c r="F42" s="116">
        <v>0</v>
      </c>
      <c r="G42" s="190">
        <f>'TABLE-75'!M39+'TABLE-76'!M39</f>
        <v>0</v>
      </c>
      <c r="H42" s="190">
        <f>'TABLE-75'!N39+'TABLE-76'!N39</f>
        <v>0</v>
      </c>
      <c r="I42" s="116">
        <v>0</v>
      </c>
      <c r="J42" s="116">
        <v>0</v>
      </c>
      <c r="K42" s="116">
        <v>0</v>
      </c>
      <c r="L42" s="190">
        <f>'TABLE-36'!F39+'TABLE-36'!I39</f>
        <v>0</v>
      </c>
      <c r="M42" s="116">
        <v>8</v>
      </c>
      <c r="N42" s="116">
        <v>2</v>
      </c>
      <c r="O42" s="116">
        <v>0</v>
      </c>
      <c r="P42" s="190">
        <f>'TABLE-36'!L39</f>
        <v>0</v>
      </c>
      <c r="Q42" s="116">
        <v>0</v>
      </c>
      <c r="R42" s="116">
        <v>0</v>
      </c>
      <c r="S42" s="190">
        <f>'TABLE-55'!J41</f>
        <v>0</v>
      </c>
      <c r="T42" s="190">
        <f>'TABLE-55'!K41</f>
        <v>0</v>
      </c>
      <c r="U42" s="190">
        <f>'TABLE-71'!J41</f>
        <v>0</v>
      </c>
      <c r="V42" s="190">
        <f>'TABLE-71'!K41</f>
        <v>0</v>
      </c>
    </row>
    <row r="43" spans="1:22" ht="13.5" customHeight="1">
      <c r="A43" s="110">
        <v>33</v>
      </c>
      <c r="B43" s="149" t="s">
        <v>363</v>
      </c>
      <c r="C43" s="116">
        <v>0</v>
      </c>
      <c r="D43" s="116">
        <v>0</v>
      </c>
      <c r="E43" s="116">
        <v>0</v>
      </c>
      <c r="F43" s="116">
        <v>0</v>
      </c>
      <c r="G43" s="190">
        <f>'TABLE-75'!M40+'TABLE-76'!M40</f>
        <v>0</v>
      </c>
      <c r="H43" s="190">
        <f>'TABLE-75'!N40+'TABLE-76'!N40</f>
        <v>0</v>
      </c>
      <c r="I43" s="116">
        <v>0</v>
      </c>
      <c r="J43" s="116">
        <v>0</v>
      </c>
      <c r="K43" s="116">
        <v>0</v>
      </c>
      <c r="L43" s="190">
        <f>'TABLE-36'!F40+'TABLE-36'!I40</f>
        <v>0</v>
      </c>
      <c r="M43" s="116">
        <v>0</v>
      </c>
      <c r="N43" s="116">
        <v>0</v>
      </c>
      <c r="O43" s="116">
        <v>0</v>
      </c>
      <c r="P43" s="190">
        <f>'TABLE-36'!L40</f>
        <v>0</v>
      </c>
      <c r="Q43" s="116">
        <v>0</v>
      </c>
      <c r="R43" s="116">
        <v>0</v>
      </c>
      <c r="S43" s="190">
        <f>'TABLE-55'!J42</f>
        <v>0</v>
      </c>
      <c r="T43" s="190">
        <f>'TABLE-55'!K42</f>
        <v>0</v>
      </c>
      <c r="U43" s="190">
        <f>'TABLE-71'!J42</f>
        <v>0</v>
      </c>
      <c r="V43" s="190">
        <f>'TABLE-71'!K42</f>
        <v>0</v>
      </c>
    </row>
    <row r="44" spans="1:22" s="101" customFormat="1" ht="13.5" customHeight="1">
      <c r="A44" s="54">
        <v>34</v>
      </c>
      <c r="B44" s="57" t="s">
        <v>242</v>
      </c>
      <c r="C44" s="57">
        <v>0</v>
      </c>
      <c r="D44" s="57">
        <v>0</v>
      </c>
      <c r="E44" s="57">
        <v>0</v>
      </c>
      <c r="F44" s="57">
        <v>0</v>
      </c>
      <c r="G44" s="190">
        <f>'TABLE-75'!M41+'TABLE-76'!M41</f>
        <v>0</v>
      </c>
      <c r="H44" s="190">
        <f>'TABLE-75'!N41+'TABLE-76'!N41</f>
        <v>0</v>
      </c>
      <c r="I44" s="57">
        <v>0</v>
      </c>
      <c r="J44" s="57">
        <v>0</v>
      </c>
      <c r="K44" s="57">
        <v>0</v>
      </c>
      <c r="L44" s="190">
        <f>'TABLE-36'!F41+'TABLE-36'!I41</f>
        <v>2</v>
      </c>
      <c r="M44" s="57">
        <v>0</v>
      </c>
      <c r="N44" s="57">
        <v>0</v>
      </c>
      <c r="O44" s="57">
        <v>0</v>
      </c>
      <c r="P44" s="190">
        <f>'TABLE-36'!L41</f>
        <v>4</v>
      </c>
      <c r="Q44" s="57">
        <v>0</v>
      </c>
      <c r="R44" s="57">
        <v>0</v>
      </c>
      <c r="S44" s="190">
        <f>'TABLE-55'!J43</f>
        <v>0</v>
      </c>
      <c r="T44" s="190">
        <f>'TABLE-55'!K43</f>
        <v>0</v>
      </c>
      <c r="U44" s="190">
        <f>'TABLE-71'!J43</f>
        <v>0</v>
      </c>
      <c r="V44" s="190">
        <f>'TABLE-71'!K43</f>
        <v>0</v>
      </c>
    </row>
    <row r="45" spans="1:22" ht="13.5" customHeight="1">
      <c r="A45" s="54">
        <v>35</v>
      </c>
      <c r="B45" s="116" t="s">
        <v>256</v>
      </c>
      <c r="C45" s="116">
        <v>31</v>
      </c>
      <c r="D45" s="116">
        <v>10</v>
      </c>
      <c r="E45" s="116">
        <v>0</v>
      </c>
      <c r="F45" s="116">
        <v>0</v>
      </c>
      <c r="G45" s="190">
        <f>'TABLE-75'!M42+'TABLE-76'!M42</f>
        <v>8</v>
      </c>
      <c r="H45" s="190">
        <f>'TABLE-75'!N42+'TABLE-76'!N42</f>
        <v>2</v>
      </c>
      <c r="I45" s="116">
        <v>0</v>
      </c>
      <c r="J45" s="116">
        <v>0</v>
      </c>
      <c r="K45" s="116">
        <v>0</v>
      </c>
      <c r="L45" s="190">
        <f>'TABLE-36'!F42+'TABLE-36'!I42</f>
        <v>0</v>
      </c>
      <c r="M45" s="116">
        <v>0</v>
      </c>
      <c r="N45" s="116">
        <v>0</v>
      </c>
      <c r="O45" s="116">
        <v>0</v>
      </c>
      <c r="P45" s="190">
        <f>'TABLE-36'!L42</f>
        <v>6</v>
      </c>
      <c r="Q45" s="116">
        <v>0</v>
      </c>
      <c r="R45" s="116">
        <v>0</v>
      </c>
      <c r="S45" s="190">
        <f>'TABLE-55'!J44</f>
        <v>0</v>
      </c>
      <c r="T45" s="190">
        <f>'TABLE-55'!K44</f>
        <v>0</v>
      </c>
      <c r="U45" s="190">
        <f>'TABLE-71'!J44</f>
        <v>0</v>
      </c>
      <c r="V45" s="190">
        <f>'TABLE-71'!K44</f>
        <v>0</v>
      </c>
    </row>
    <row r="46" spans="1:22" ht="13.5" customHeight="1">
      <c r="A46" s="54">
        <v>36</v>
      </c>
      <c r="B46" s="116" t="s">
        <v>24</v>
      </c>
      <c r="C46" s="116">
        <v>107</v>
      </c>
      <c r="D46" s="116">
        <v>41</v>
      </c>
      <c r="E46" s="116">
        <v>0</v>
      </c>
      <c r="F46" s="116">
        <v>0</v>
      </c>
      <c r="G46" s="190">
        <f>'TABLE-75'!M43+'TABLE-76'!M43</f>
        <v>95</v>
      </c>
      <c r="H46" s="190">
        <f>'TABLE-75'!N43+'TABLE-76'!N43</f>
        <v>41</v>
      </c>
      <c r="I46" s="116">
        <v>0</v>
      </c>
      <c r="J46" s="116">
        <v>0</v>
      </c>
      <c r="K46" s="116">
        <v>0</v>
      </c>
      <c r="L46" s="190">
        <f>'TABLE-36'!F43+'TABLE-36'!I43</f>
        <v>0</v>
      </c>
      <c r="M46" s="116">
        <v>0</v>
      </c>
      <c r="N46" s="116">
        <v>0</v>
      </c>
      <c r="O46" s="116">
        <v>64</v>
      </c>
      <c r="P46" s="190">
        <f>'TABLE-36'!L43</f>
        <v>17</v>
      </c>
      <c r="Q46" s="116">
        <v>3</v>
      </c>
      <c r="R46" s="116">
        <v>1</v>
      </c>
      <c r="S46" s="190">
        <f>'TABLE-55'!J45</f>
        <v>3</v>
      </c>
      <c r="T46" s="190">
        <f>'TABLE-55'!K45</f>
        <v>1</v>
      </c>
      <c r="U46" s="190">
        <f>'TABLE-71'!J45</f>
        <v>13</v>
      </c>
      <c r="V46" s="190">
        <f>'TABLE-71'!K45</f>
        <v>3</v>
      </c>
    </row>
    <row r="47" spans="1:22" ht="13.5" customHeight="1">
      <c r="A47" s="54">
        <v>37</v>
      </c>
      <c r="B47" s="116" t="s">
        <v>399</v>
      </c>
      <c r="C47" s="116">
        <v>0</v>
      </c>
      <c r="D47" s="116">
        <v>0</v>
      </c>
      <c r="E47" s="116">
        <v>0</v>
      </c>
      <c r="F47" s="116">
        <v>0</v>
      </c>
      <c r="G47" s="190">
        <f>'TABLE-75'!M44+'TABLE-76'!M44</f>
        <v>0</v>
      </c>
      <c r="H47" s="190">
        <f>'TABLE-75'!N44+'TABLE-76'!N44</f>
        <v>0</v>
      </c>
      <c r="I47" s="116">
        <v>0</v>
      </c>
      <c r="J47" s="116">
        <v>0</v>
      </c>
      <c r="K47" s="116">
        <v>0</v>
      </c>
      <c r="L47" s="190">
        <f>'TABLE-36'!F44+'TABLE-36'!I44</f>
        <v>0</v>
      </c>
      <c r="M47" s="116">
        <v>0</v>
      </c>
      <c r="N47" s="116">
        <v>0</v>
      </c>
      <c r="O47" s="116">
        <v>0</v>
      </c>
      <c r="P47" s="190">
        <f>'TABLE-36'!L44</f>
        <v>0</v>
      </c>
      <c r="Q47" s="116">
        <v>0</v>
      </c>
      <c r="R47" s="116">
        <v>0</v>
      </c>
      <c r="S47" s="190">
        <f>'TABLE-55'!J46</f>
        <v>0</v>
      </c>
      <c r="T47" s="190">
        <f>'TABLE-55'!K46</f>
        <v>0</v>
      </c>
      <c r="U47" s="190">
        <f>'TABLE-71'!J46</f>
        <v>0</v>
      </c>
      <c r="V47" s="190">
        <f>'TABLE-71'!K46</f>
        <v>0</v>
      </c>
    </row>
    <row r="48" spans="1:22" ht="13.5" customHeight="1">
      <c r="A48" s="54">
        <v>38</v>
      </c>
      <c r="B48" s="116" t="s">
        <v>364</v>
      </c>
      <c r="C48" s="116">
        <v>0</v>
      </c>
      <c r="D48" s="116">
        <v>0</v>
      </c>
      <c r="E48" s="116">
        <v>0</v>
      </c>
      <c r="F48" s="116">
        <v>0</v>
      </c>
      <c r="G48" s="190">
        <f>'TABLE-75'!M46+'TABLE-76'!M46</f>
        <v>0</v>
      </c>
      <c r="H48" s="190">
        <f>'TABLE-75'!N46+'TABLE-76'!N46</f>
        <v>0</v>
      </c>
      <c r="I48" s="116">
        <v>0</v>
      </c>
      <c r="J48" s="116">
        <v>0</v>
      </c>
      <c r="K48" s="116">
        <v>0</v>
      </c>
      <c r="L48" s="190">
        <f>'TABLE-36'!F45+'TABLE-36'!I45</f>
        <v>0</v>
      </c>
      <c r="M48" s="116">
        <v>0</v>
      </c>
      <c r="N48" s="116">
        <v>0</v>
      </c>
      <c r="O48" s="116">
        <v>0</v>
      </c>
      <c r="P48" s="190">
        <f>'TABLE-36'!L46</f>
        <v>6</v>
      </c>
      <c r="Q48" s="116">
        <v>0</v>
      </c>
      <c r="R48" s="116">
        <v>0</v>
      </c>
      <c r="S48" s="190">
        <f>'TABLE-55'!J47</f>
        <v>0</v>
      </c>
      <c r="T48" s="190">
        <f>'TABLE-55'!K48</f>
        <v>0</v>
      </c>
      <c r="U48" s="190">
        <f>'TABLE-71'!J47</f>
        <v>0</v>
      </c>
      <c r="V48" s="190">
        <f>'TABLE-71'!K47</f>
        <v>0</v>
      </c>
    </row>
    <row r="49" spans="1:22" ht="13.5" customHeight="1">
      <c r="A49" s="54">
        <v>39</v>
      </c>
      <c r="B49" s="116" t="s">
        <v>365</v>
      </c>
      <c r="C49" s="116">
        <v>544</v>
      </c>
      <c r="D49" s="116">
        <v>747</v>
      </c>
      <c r="E49" s="116">
        <v>260</v>
      </c>
      <c r="F49" s="116">
        <v>573</v>
      </c>
      <c r="G49" s="190">
        <f>'TABLE-75'!M46+'TABLE-76'!M46</f>
        <v>0</v>
      </c>
      <c r="H49" s="190">
        <f>'TABLE-75'!N46+'TABLE-76'!N46</f>
        <v>0</v>
      </c>
      <c r="I49" s="116">
        <v>152</v>
      </c>
      <c r="J49" s="116">
        <v>5</v>
      </c>
      <c r="K49" s="116">
        <v>4</v>
      </c>
      <c r="L49" s="190">
        <f>'TABLE-36'!F46+'TABLE-36'!I46</f>
        <v>1</v>
      </c>
      <c r="M49" s="116">
        <v>0</v>
      </c>
      <c r="N49" s="116">
        <v>0</v>
      </c>
      <c r="O49" s="116">
        <v>19</v>
      </c>
      <c r="P49" s="190">
        <f>'TABLE-36'!L46</f>
        <v>6</v>
      </c>
      <c r="Q49" s="116">
        <v>2</v>
      </c>
      <c r="R49" s="116">
        <v>3</v>
      </c>
      <c r="S49" s="190">
        <f>'TABLE-55'!J48</f>
        <v>0</v>
      </c>
      <c r="T49" s="190">
        <f>'TABLE-55'!K48</f>
        <v>0</v>
      </c>
      <c r="U49" s="190">
        <f>'TABLE-71'!J48</f>
        <v>0</v>
      </c>
      <c r="V49" s="190">
        <f>'TABLE-71'!K48</f>
        <v>0</v>
      </c>
    </row>
    <row r="50" spans="1:22" s="327" customFormat="1" ht="13.5" customHeight="1">
      <c r="A50" s="325"/>
      <c r="B50" s="326" t="s">
        <v>225</v>
      </c>
      <c r="C50" s="326">
        <f aca="true" t="shared" si="2" ref="C50:V50">SUM(C37:C49)</f>
        <v>4532</v>
      </c>
      <c r="D50" s="326">
        <f t="shared" si="2"/>
        <v>6514</v>
      </c>
      <c r="E50" s="326">
        <f t="shared" si="2"/>
        <v>1384</v>
      </c>
      <c r="F50" s="326">
        <f t="shared" si="2"/>
        <v>1078</v>
      </c>
      <c r="G50" s="197">
        <f t="shared" si="2"/>
        <v>2328</v>
      </c>
      <c r="H50" s="197">
        <f t="shared" si="2"/>
        <v>3826</v>
      </c>
      <c r="I50" s="326">
        <f t="shared" si="2"/>
        <v>152</v>
      </c>
      <c r="J50" s="326">
        <f t="shared" si="2"/>
        <v>5</v>
      </c>
      <c r="K50" s="326">
        <f t="shared" si="2"/>
        <v>36</v>
      </c>
      <c r="L50" s="197">
        <f t="shared" si="2"/>
        <v>103</v>
      </c>
      <c r="M50" s="326">
        <f t="shared" si="2"/>
        <v>133</v>
      </c>
      <c r="N50" s="326">
        <f t="shared" si="2"/>
        <v>32</v>
      </c>
      <c r="O50" s="326">
        <f t="shared" si="2"/>
        <v>145</v>
      </c>
      <c r="P50" s="198">
        <f>'TABLE-36'!L47</f>
        <v>109</v>
      </c>
      <c r="Q50" s="326">
        <f t="shared" si="2"/>
        <v>213</v>
      </c>
      <c r="R50" s="326">
        <f t="shared" si="2"/>
        <v>52</v>
      </c>
      <c r="S50" s="197">
        <f t="shared" si="2"/>
        <v>3</v>
      </c>
      <c r="T50" s="197">
        <f t="shared" si="2"/>
        <v>1</v>
      </c>
      <c r="U50" s="197">
        <f t="shared" si="2"/>
        <v>45</v>
      </c>
      <c r="V50" s="197">
        <f t="shared" si="2"/>
        <v>11</v>
      </c>
    </row>
    <row r="51" spans="1:22" s="327" customFormat="1" ht="13.5" customHeight="1">
      <c r="A51" s="325"/>
      <c r="B51" s="328" t="s">
        <v>123</v>
      </c>
      <c r="C51" s="326">
        <f aca="true" t="shared" si="3" ref="C51:V51">C28+C36+C50</f>
        <v>1098123</v>
      </c>
      <c r="D51" s="326">
        <f t="shared" si="3"/>
        <v>852510</v>
      </c>
      <c r="E51" s="326">
        <f t="shared" si="3"/>
        <v>699231</v>
      </c>
      <c r="F51" s="326">
        <f t="shared" si="3"/>
        <v>482236</v>
      </c>
      <c r="G51" s="197">
        <f t="shared" si="3"/>
        <v>401204</v>
      </c>
      <c r="H51" s="197">
        <f t="shared" si="3"/>
        <v>230046</v>
      </c>
      <c r="I51" s="326">
        <f t="shared" si="3"/>
        <v>13063</v>
      </c>
      <c r="J51" s="326">
        <f t="shared" si="3"/>
        <v>2295</v>
      </c>
      <c r="K51" s="326">
        <f t="shared" si="3"/>
        <v>118951</v>
      </c>
      <c r="L51" s="197">
        <f t="shared" si="3"/>
        <v>48725</v>
      </c>
      <c r="M51" s="326">
        <f t="shared" si="3"/>
        <v>34136</v>
      </c>
      <c r="N51" s="326">
        <f t="shared" si="3"/>
        <v>20014</v>
      </c>
      <c r="O51" s="326">
        <f t="shared" si="3"/>
        <v>53290</v>
      </c>
      <c r="P51" s="197">
        <f t="shared" si="3"/>
        <v>18139</v>
      </c>
      <c r="Q51" s="326">
        <f t="shared" si="3"/>
        <v>57414</v>
      </c>
      <c r="R51" s="326">
        <f t="shared" si="3"/>
        <v>28847</v>
      </c>
      <c r="S51" s="197">
        <f t="shared" si="3"/>
        <v>12031</v>
      </c>
      <c r="T51" s="197">
        <f t="shared" si="3"/>
        <v>3524</v>
      </c>
      <c r="U51" s="197">
        <f t="shared" si="3"/>
        <v>19356</v>
      </c>
      <c r="V51" s="197">
        <f t="shared" si="3"/>
        <v>6286</v>
      </c>
    </row>
    <row r="52" spans="2:22" ht="18" customHeight="1">
      <c r="B52" s="307"/>
      <c r="G52" s="415"/>
      <c r="H52" s="415"/>
      <c r="L52" s="415"/>
      <c r="P52" s="415"/>
      <c r="S52" s="415"/>
      <c r="T52" s="415"/>
      <c r="U52" s="415"/>
      <c r="V52" s="415"/>
    </row>
    <row r="53" spans="1:22" ht="18" customHeight="1">
      <c r="A53" s="307"/>
      <c r="B53" s="307"/>
      <c r="C53" s="308"/>
      <c r="D53" s="308"/>
      <c r="E53" s="308"/>
      <c r="F53" s="308"/>
      <c r="G53" s="414"/>
      <c r="H53" s="414"/>
      <c r="I53" s="308"/>
      <c r="J53" s="308"/>
      <c r="L53" s="422"/>
      <c r="O53" s="310"/>
      <c r="P53" s="422"/>
      <c r="Q53" s="310"/>
      <c r="R53" s="310"/>
      <c r="S53" s="415"/>
      <c r="T53" s="415"/>
      <c r="U53" s="415"/>
      <c r="V53" s="415"/>
    </row>
    <row r="54" spans="4:22" ht="18" customHeight="1">
      <c r="D54" s="308"/>
      <c r="E54" s="308"/>
      <c r="F54" s="308"/>
      <c r="G54" s="414"/>
      <c r="H54" s="415"/>
      <c r="K54" s="310"/>
      <c r="L54" s="422"/>
      <c r="O54" s="310"/>
      <c r="P54" s="422"/>
      <c r="Q54" s="310"/>
      <c r="R54" s="310"/>
      <c r="S54" s="415"/>
      <c r="T54" s="415"/>
      <c r="U54" s="415"/>
      <c r="V54" s="415"/>
    </row>
    <row r="55" spans="1:22" ht="18" customHeight="1">
      <c r="A55" s="123" t="s">
        <v>4</v>
      </c>
      <c r="B55" s="123" t="s">
        <v>5</v>
      </c>
      <c r="C55" s="646" t="s">
        <v>94</v>
      </c>
      <c r="D55" s="647"/>
      <c r="E55" s="648" t="s">
        <v>137</v>
      </c>
      <c r="F55" s="621"/>
      <c r="G55" s="621"/>
      <c r="H55" s="621"/>
      <c r="I55" s="621"/>
      <c r="J55" s="621"/>
      <c r="K55" s="621"/>
      <c r="L55" s="622"/>
      <c r="M55" s="312"/>
      <c r="N55" s="313"/>
      <c r="O55" s="312"/>
      <c r="P55" s="423"/>
      <c r="Q55" s="312"/>
      <c r="R55" s="313"/>
      <c r="S55" s="424"/>
      <c r="T55" s="426"/>
      <c r="U55" s="428"/>
      <c r="V55" s="429"/>
    </row>
    <row r="56" spans="1:22" ht="12.75">
      <c r="A56" s="315" t="s">
        <v>6</v>
      </c>
      <c r="B56" s="315"/>
      <c r="C56" s="316" t="s">
        <v>95</v>
      </c>
      <c r="D56" s="317"/>
      <c r="E56" s="318" t="s">
        <v>96</v>
      </c>
      <c r="F56" s="319"/>
      <c r="G56" s="416"/>
      <c r="H56" s="417"/>
      <c r="I56" s="318"/>
      <c r="J56" s="319"/>
      <c r="K56" s="318"/>
      <c r="L56" s="417"/>
      <c r="M56" s="644" t="s">
        <v>97</v>
      </c>
      <c r="N56" s="645"/>
      <c r="O56" s="316"/>
      <c r="P56" s="419"/>
      <c r="Q56" s="316"/>
      <c r="R56" s="317"/>
      <c r="S56" s="425"/>
      <c r="T56" s="427"/>
      <c r="U56" s="430"/>
      <c r="V56" s="431"/>
    </row>
    <row r="57" spans="1:22" ht="12.75">
      <c r="A57" s="315"/>
      <c r="B57" s="315"/>
      <c r="C57" s="316" t="s">
        <v>98</v>
      </c>
      <c r="D57" s="317" t="s">
        <v>36</v>
      </c>
      <c r="E57" s="316" t="s">
        <v>99</v>
      </c>
      <c r="F57" s="317"/>
      <c r="G57" s="418" t="s">
        <v>100</v>
      </c>
      <c r="H57" s="419"/>
      <c r="I57" s="644" t="s">
        <v>129</v>
      </c>
      <c r="J57" s="645"/>
      <c r="K57" s="316" t="s">
        <v>142</v>
      </c>
      <c r="L57" s="419"/>
      <c r="M57" s="644" t="s">
        <v>101</v>
      </c>
      <c r="N57" s="645"/>
      <c r="O57" s="644" t="s">
        <v>195</v>
      </c>
      <c r="P57" s="645"/>
      <c r="Q57" s="644" t="s">
        <v>196</v>
      </c>
      <c r="R57" s="645"/>
      <c r="S57" s="644" t="s">
        <v>421</v>
      </c>
      <c r="T57" s="645"/>
      <c r="U57" s="623" t="s">
        <v>245</v>
      </c>
      <c r="V57" s="610"/>
    </row>
    <row r="58" spans="1:22" ht="12.75">
      <c r="A58" s="315"/>
      <c r="B58" s="315"/>
      <c r="C58" s="321"/>
      <c r="D58" s="322"/>
      <c r="E58" s="321" t="s">
        <v>102</v>
      </c>
      <c r="F58" s="322"/>
      <c r="G58" s="420"/>
      <c r="H58" s="421"/>
      <c r="I58" s="321"/>
      <c r="J58" s="322"/>
      <c r="K58" s="321"/>
      <c r="L58" s="421"/>
      <c r="M58" s="611" t="s">
        <v>103</v>
      </c>
      <c r="N58" s="612"/>
      <c r="O58" s="321"/>
      <c r="P58" s="421"/>
      <c r="Q58" s="321"/>
      <c r="R58" s="322"/>
      <c r="S58" s="420"/>
      <c r="T58" s="421"/>
      <c r="U58" s="432"/>
      <c r="V58" s="433"/>
    </row>
    <row r="59" spans="1:22" ht="12.75">
      <c r="A59" s="124"/>
      <c r="B59" s="124"/>
      <c r="C59" s="323" t="s">
        <v>57</v>
      </c>
      <c r="D59" s="324" t="s">
        <v>63</v>
      </c>
      <c r="E59" s="323" t="s">
        <v>57</v>
      </c>
      <c r="F59" s="324" t="s">
        <v>63</v>
      </c>
      <c r="G59" s="266" t="s">
        <v>57</v>
      </c>
      <c r="H59" s="266" t="s">
        <v>63</v>
      </c>
      <c r="I59" s="323" t="s">
        <v>57</v>
      </c>
      <c r="J59" s="323" t="s">
        <v>63</v>
      </c>
      <c r="K59" s="323" t="s">
        <v>57</v>
      </c>
      <c r="L59" s="266" t="s">
        <v>63</v>
      </c>
      <c r="M59" s="323" t="s">
        <v>57</v>
      </c>
      <c r="N59" s="323" t="s">
        <v>63</v>
      </c>
      <c r="O59" s="323" t="s">
        <v>57</v>
      </c>
      <c r="P59" s="266" t="s">
        <v>63</v>
      </c>
      <c r="Q59" s="323" t="s">
        <v>57</v>
      </c>
      <c r="R59" s="323" t="s">
        <v>63</v>
      </c>
      <c r="S59" s="266" t="s">
        <v>57</v>
      </c>
      <c r="T59" s="266" t="s">
        <v>63</v>
      </c>
      <c r="U59" s="266" t="s">
        <v>57</v>
      </c>
      <c r="V59" s="434" t="s">
        <v>63</v>
      </c>
    </row>
    <row r="60" spans="1:22" ht="15.75" customHeight="1">
      <c r="A60" s="54">
        <v>40</v>
      </c>
      <c r="B60" s="57" t="s">
        <v>78</v>
      </c>
      <c r="C60" s="116">
        <v>18444</v>
      </c>
      <c r="D60" s="116">
        <v>6300</v>
      </c>
      <c r="E60" s="116">
        <v>10171</v>
      </c>
      <c r="F60" s="116">
        <v>3698</v>
      </c>
      <c r="G60" s="190">
        <f>'TABLE-75'!M54+'TABLE-76'!M54</f>
        <v>14847</v>
      </c>
      <c r="H60" s="190">
        <f>'TABLE-75'!N54+'TABLE-76'!N54</f>
        <v>4141</v>
      </c>
      <c r="I60" s="116">
        <v>0</v>
      </c>
      <c r="J60" s="116">
        <v>0</v>
      </c>
      <c r="K60" s="116">
        <v>2900</v>
      </c>
      <c r="L60" s="190">
        <f>'TABLE-36'!F55+'TABLE-36'!I55</f>
        <v>2841</v>
      </c>
      <c r="M60" s="116">
        <v>0</v>
      </c>
      <c r="N60" s="116">
        <v>0</v>
      </c>
      <c r="O60" s="116">
        <v>0</v>
      </c>
      <c r="P60" s="190">
        <f>'TABLE-36'!L55</f>
        <v>0</v>
      </c>
      <c r="Q60" s="116">
        <v>585</v>
      </c>
      <c r="R60" s="116">
        <v>402</v>
      </c>
      <c r="S60" s="190">
        <f>'TABLE-55'!J58</f>
        <v>0</v>
      </c>
      <c r="T60" s="190">
        <f>'TABLE-55'!K58</f>
        <v>0</v>
      </c>
      <c r="U60" s="190">
        <f>'TABLE-71'!J59</f>
        <v>377</v>
      </c>
      <c r="V60" s="190">
        <f>'TABLE-71'!K59</f>
        <v>75</v>
      </c>
    </row>
    <row r="61" spans="1:22" ht="15.75" customHeight="1">
      <c r="A61" s="54">
        <v>41</v>
      </c>
      <c r="B61" s="57" t="s">
        <v>278</v>
      </c>
      <c r="C61" s="116">
        <v>112229</v>
      </c>
      <c r="D61" s="116">
        <v>42400</v>
      </c>
      <c r="E61" s="116">
        <v>59551</v>
      </c>
      <c r="F61" s="116">
        <v>24661</v>
      </c>
      <c r="G61" s="190">
        <f>'TABLE-75'!M55+'TABLE-76'!M55</f>
        <v>44331</v>
      </c>
      <c r="H61" s="190">
        <f>'TABLE-75'!N55+'TABLE-76'!N55</f>
        <v>17621</v>
      </c>
      <c r="I61" s="116">
        <v>0</v>
      </c>
      <c r="J61" s="116">
        <v>0</v>
      </c>
      <c r="K61" s="116">
        <v>6212</v>
      </c>
      <c r="L61" s="190">
        <f>'TABLE-36'!F56+'TABLE-36'!I56</f>
        <v>3201</v>
      </c>
      <c r="M61" s="116">
        <v>2420</v>
      </c>
      <c r="N61" s="116">
        <v>634</v>
      </c>
      <c r="O61" s="116">
        <v>0</v>
      </c>
      <c r="P61" s="190">
        <f>'TABLE-36'!L56</f>
        <v>0</v>
      </c>
      <c r="Q61" s="116">
        <v>2792</v>
      </c>
      <c r="R61" s="116">
        <v>2299</v>
      </c>
      <c r="S61" s="190">
        <f>'TABLE-55'!J59</f>
        <v>71</v>
      </c>
      <c r="T61" s="190">
        <f>'TABLE-55'!K59</f>
        <v>9</v>
      </c>
      <c r="U61" s="190">
        <f>'TABLE-71'!J60</f>
        <v>478</v>
      </c>
      <c r="V61" s="190">
        <f>'TABLE-71'!K60</f>
        <v>312</v>
      </c>
    </row>
    <row r="62" spans="1:22" ht="15.75" customHeight="1">
      <c r="A62" s="54">
        <v>42</v>
      </c>
      <c r="B62" s="57" t="s">
        <v>30</v>
      </c>
      <c r="C62" s="116">
        <v>4428</v>
      </c>
      <c r="D62" s="116">
        <v>1948</v>
      </c>
      <c r="E62" s="116">
        <v>1952</v>
      </c>
      <c r="F62" s="116">
        <v>793</v>
      </c>
      <c r="G62" s="190">
        <f>'TABLE-75'!M56+'TABLE-76'!M56</f>
        <v>3713</v>
      </c>
      <c r="H62" s="190">
        <f>'TABLE-75'!N56+'TABLE-76'!N56</f>
        <v>1962</v>
      </c>
      <c r="I62" s="116">
        <v>0</v>
      </c>
      <c r="J62" s="116">
        <v>0</v>
      </c>
      <c r="K62" s="116">
        <v>447</v>
      </c>
      <c r="L62" s="190">
        <f>'TABLE-36'!F57+'TABLE-36'!I57</f>
        <v>190</v>
      </c>
      <c r="M62" s="116">
        <v>9</v>
      </c>
      <c r="N62" s="116">
        <v>7</v>
      </c>
      <c r="O62" s="116">
        <v>16</v>
      </c>
      <c r="P62" s="190">
        <f>'TABLE-36'!L57</f>
        <v>13</v>
      </c>
      <c r="Q62" s="116">
        <v>228</v>
      </c>
      <c r="R62" s="116">
        <v>154</v>
      </c>
      <c r="S62" s="190">
        <f>'TABLE-55'!J60</f>
        <v>0</v>
      </c>
      <c r="T62" s="190">
        <f>'TABLE-55'!K60</f>
        <v>0</v>
      </c>
      <c r="U62" s="190">
        <f>'TABLE-71'!J61</f>
        <v>0</v>
      </c>
      <c r="V62" s="190">
        <f>'TABLE-71'!K61</f>
        <v>0</v>
      </c>
    </row>
    <row r="63" spans="1:22" ht="15.75" customHeight="1">
      <c r="A63" s="54">
        <v>43</v>
      </c>
      <c r="B63" s="57" t="s">
        <v>234</v>
      </c>
      <c r="C63" s="116">
        <v>52490</v>
      </c>
      <c r="D63" s="116">
        <v>22575</v>
      </c>
      <c r="E63" s="116">
        <v>36571</v>
      </c>
      <c r="F63" s="116">
        <v>16109</v>
      </c>
      <c r="G63" s="190">
        <f>'TABLE-75'!M57+'TABLE-76'!M57</f>
        <v>29185</v>
      </c>
      <c r="H63" s="190">
        <f>'TABLE-75'!N57+'TABLE-76'!N57</f>
        <v>8314</v>
      </c>
      <c r="I63" s="116">
        <v>0</v>
      </c>
      <c r="J63" s="116">
        <v>0</v>
      </c>
      <c r="K63" s="116">
        <v>9493</v>
      </c>
      <c r="L63" s="190">
        <f>'TABLE-36'!F58+'TABLE-36'!I58</f>
        <v>1982</v>
      </c>
      <c r="M63" s="116">
        <v>236</v>
      </c>
      <c r="N63" s="116">
        <v>85</v>
      </c>
      <c r="O63" s="116">
        <v>0</v>
      </c>
      <c r="P63" s="190">
        <f>'TABLE-36'!L58</f>
        <v>0</v>
      </c>
      <c r="Q63" s="116">
        <v>2805</v>
      </c>
      <c r="R63" s="116">
        <v>1063</v>
      </c>
      <c r="S63" s="190">
        <f>'TABLE-55'!J61</f>
        <v>59</v>
      </c>
      <c r="T63" s="190">
        <f>'TABLE-55'!K61</f>
        <v>11</v>
      </c>
      <c r="U63" s="190">
        <f>'TABLE-71'!J62</f>
        <v>1009</v>
      </c>
      <c r="V63" s="190">
        <f>'TABLE-71'!K62</f>
        <v>179</v>
      </c>
    </row>
    <row r="64" spans="1:22" ht="15.75" customHeight="1">
      <c r="A64" s="54">
        <v>44</v>
      </c>
      <c r="B64" s="57" t="s">
        <v>29</v>
      </c>
      <c r="C64" s="116">
        <v>18712</v>
      </c>
      <c r="D64" s="116">
        <v>3742</v>
      </c>
      <c r="E64" s="116">
        <v>9730</v>
      </c>
      <c r="F64" s="116">
        <v>7002</v>
      </c>
      <c r="G64" s="190">
        <f>'TABLE-75'!M58+'TABLE-76'!M58</f>
        <v>8075</v>
      </c>
      <c r="H64" s="190">
        <f>'TABLE-75'!N58+'TABLE-76'!N58</f>
        <v>1641</v>
      </c>
      <c r="I64" s="116">
        <v>0</v>
      </c>
      <c r="J64" s="116">
        <v>0</v>
      </c>
      <c r="K64" s="116">
        <v>6013</v>
      </c>
      <c r="L64" s="190">
        <f>'TABLE-36'!F59+'TABLE-36'!I59</f>
        <v>782</v>
      </c>
      <c r="M64" s="116">
        <v>3464</v>
      </c>
      <c r="N64" s="116">
        <v>617</v>
      </c>
      <c r="O64" s="116">
        <v>0</v>
      </c>
      <c r="P64" s="190">
        <f>'TABLE-36'!L59</f>
        <v>0</v>
      </c>
      <c r="Q64" s="116">
        <v>759</v>
      </c>
      <c r="R64" s="116">
        <v>360</v>
      </c>
      <c r="S64" s="190">
        <f>'TABLE-55'!J62</f>
        <v>0</v>
      </c>
      <c r="T64" s="190">
        <f>'TABLE-55'!K62</f>
        <v>0</v>
      </c>
      <c r="U64" s="190">
        <f>'TABLE-71'!J63</f>
        <v>410</v>
      </c>
      <c r="V64" s="190">
        <f>'TABLE-71'!K63</f>
        <v>68</v>
      </c>
    </row>
    <row r="65" spans="1:22" ht="15.75" customHeight="1">
      <c r="A65" s="54">
        <v>45</v>
      </c>
      <c r="B65" s="57" t="s">
        <v>391</v>
      </c>
      <c r="C65" s="116">
        <v>108121</v>
      </c>
      <c r="D65" s="116">
        <v>50111</v>
      </c>
      <c r="E65" s="116">
        <v>74619</v>
      </c>
      <c r="F65" s="116">
        <v>32972</v>
      </c>
      <c r="G65" s="190">
        <f>'TABLE-75'!M59+'TABLE-76'!M59</f>
        <v>51453</v>
      </c>
      <c r="H65" s="190">
        <f>'TABLE-75'!N59+'TABLE-76'!N59</f>
        <v>19666</v>
      </c>
      <c r="I65" s="116">
        <v>0</v>
      </c>
      <c r="J65" s="116">
        <v>0</v>
      </c>
      <c r="K65" s="116">
        <v>16406</v>
      </c>
      <c r="L65" s="190">
        <f>'TABLE-36'!F60+'TABLE-36'!I60</f>
        <v>5101</v>
      </c>
      <c r="M65" s="116">
        <v>3702</v>
      </c>
      <c r="N65" s="116">
        <v>1290</v>
      </c>
      <c r="O65" s="116">
        <v>0</v>
      </c>
      <c r="P65" s="190">
        <f>'TABLE-36'!L60</f>
        <v>0</v>
      </c>
      <c r="Q65" s="116">
        <v>6227</v>
      </c>
      <c r="R65" s="116">
        <v>2618</v>
      </c>
      <c r="S65" s="190">
        <f>'TABLE-55'!J63</f>
        <v>0</v>
      </c>
      <c r="T65" s="190">
        <f>'TABLE-55'!K63</f>
        <v>0</v>
      </c>
      <c r="U65" s="190">
        <f>'TABLE-71'!J64</f>
        <v>3624</v>
      </c>
      <c r="V65" s="190">
        <f>'TABLE-71'!K64</f>
        <v>713</v>
      </c>
    </row>
    <row r="66" spans="1:22" ht="15.75" customHeight="1">
      <c r="A66" s="54">
        <v>46</v>
      </c>
      <c r="B66" s="57" t="s">
        <v>25</v>
      </c>
      <c r="C66" s="116">
        <v>33259</v>
      </c>
      <c r="D66" s="116">
        <v>9681</v>
      </c>
      <c r="E66" s="116">
        <v>26963</v>
      </c>
      <c r="F66" s="116">
        <v>8803</v>
      </c>
      <c r="G66" s="190">
        <f>'TABLE-75'!M60+'TABLE-76'!M60</f>
        <v>6517</v>
      </c>
      <c r="H66" s="190">
        <f>'TABLE-75'!N60+'TABLE-76'!N60</f>
        <v>1777</v>
      </c>
      <c r="I66" s="116">
        <v>0</v>
      </c>
      <c r="J66" s="116">
        <v>0</v>
      </c>
      <c r="K66" s="116">
        <v>5372</v>
      </c>
      <c r="L66" s="190">
        <f>'TABLE-36'!F61+'TABLE-36'!I61</f>
        <v>429</v>
      </c>
      <c r="M66" s="116">
        <v>2087</v>
      </c>
      <c r="N66" s="116">
        <v>255</v>
      </c>
      <c r="O66" s="116">
        <v>0</v>
      </c>
      <c r="P66" s="190">
        <f>'TABLE-36'!L61</f>
        <v>0</v>
      </c>
      <c r="Q66" s="116">
        <v>993</v>
      </c>
      <c r="R66" s="116">
        <v>161</v>
      </c>
      <c r="S66" s="190">
        <f>'TABLE-55'!J64</f>
        <v>0</v>
      </c>
      <c r="T66" s="190">
        <f>'TABLE-55'!K64</f>
        <v>0</v>
      </c>
      <c r="U66" s="190">
        <f>'TABLE-71'!J65</f>
        <v>331</v>
      </c>
      <c r="V66" s="190">
        <f>'TABLE-71'!K65</f>
        <v>46</v>
      </c>
    </row>
    <row r="67" spans="1:22" ht="15.75" customHeight="1">
      <c r="A67" s="54">
        <v>47</v>
      </c>
      <c r="B67" s="57" t="s">
        <v>28</v>
      </c>
      <c r="C67" s="116">
        <v>3152</v>
      </c>
      <c r="D67" s="116">
        <v>2386</v>
      </c>
      <c r="E67" s="116">
        <v>2582</v>
      </c>
      <c r="F67" s="116">
        <v>1093</v>
      </c>
      <c r="G67" s="190">
        <f>'TABLE-75'!M61+'TABLE-76'!M61</f>
        <v>1168</v>
      </c>
      <c r="H67" s="190">
        <f>'TABLE-75'!N61+'TABLE-76'!N61</f>
        <v>716</v>
      </c>
      <c r="I67" s="116">
        <v>0</v>
      </c>
      <c r="J67" s="116">
        <v>0</v>
      </c>
      <c r="K67" s="116">
        <v>852</v>
      </c>
      <c r="L67" s="190">
        <f>'TABLE-36'!F62+'TABLE-36'!I62</f>
        <v>488</v>
      </c>
      <c r="M67" s="116">
        <v>54</v>
      </c>
      <c r="N67" s="116">
        <v>44</v>
      </c>
      <c r="O67" s="116">
        <v>0</v>
      </c>
      <c r="P67" s="190">
        <f>'TABLE-36'!L62</f>
        <v>0</v>
      </c>
      <c r="Q67" s="116">
        <v>88</v>
      </c>
      <c r="R67" s="116">
        <v>46</v>
      </c>
      <c r="S67" s="190">
        <f>'TABLE-55'!J65</f>
        <v>0</v>
      </c>
      <c r="T67" s="190">
        <f>'TABLE-55'!K65</f>
        <v>0</v>
      </c>
      <c r="U67" s="190">
        <f>'TABLE-71'!J66</f>
        <v>38</v>
      </c>
      <c r="V67" s="190">
        <f>'TABLE-71'!K66</f>
        <v>10</v>
      </c>
    </row>
    <row r="68" spans="1:22" s="327" customFormat="1" ht="15.75" customHeight="1">
      <c r="A68" s="54"/>
      <c r="B68" s="328" t="s">
        <v>123</v>
      </c>
      <c r="C68" s="326">
        <f>SUM(C60:C67)</f>
        <v>350835</v>
      </c>
      <c r="D68" s="326">
        <f>SUM(D60:D67)</f>
        <v>139143</v>
      </c>
      <c r="E68" s="326">
        <f>SUM(E60:E67)</f>
        <v>222139</v>
      </c>
      <c r="F68" s="326">
        <f>SUM(F60:F67)</f>
        <v>95131</v>
      </c>
      <c r="G68" s="197">
        <f aca="true" t="shared" si="4" ref="G68:V68">SUM(G60:G67)</f>
        <v>159289</v>
      </c>
      <c r="H68" s="197">
        <f t="shared" si="4"/>
        <v>55838</v>
      </c>
      <c r="I68" s="326">
        <f t="shared" si="4"/>
        <v>0</v>
      </c>
      <c r="J68" s="326">
        <f t="shared" si="4"/>
        <v>0</v>
      </c>
      <c r="K68" s="326">
        <f t="shared" si="4"/>
        <v>47695</v>
      </c>
      <c r="L68" s="197">
        <f t="shared" si="4"/>
        <v>15014</v>
      </c>
      <c r="M68" s="326">
        <f t="shared" si="4"/>
        <v>11972</v>
      </c>
      <c r="N68" s="326">
        <f t="shared" si="4"/>
        <v>2932</v>
      </c>
      <c r="O68" s="326">
        <f t="shared" si="4"/>
        <v>16</v>
      </c>
      <c r="P68" s="197">
        <f t="shared" si="4"/>
        <v>13</v>
      </c>
      <c r="Q68" s="326">
        <f t="shared" si="4"/>
        <v>14477</v>
      </c>
      <c r="R68" s="326">
        <f t="shared" si="4"/>
        <v>7103</v>
      </c>
      <c r="S68" s="197">
        <f t="shared" si="4"/>
        <v>130</v>
      </c>
      <c r="T68" s="197">
        <f t="shared" si="4"/>
        <v>20</v>
      </c>
      <c r="U68" s="197">
        <f t="shared" si="4"/>
        <v>6267</v>
      </c>
      <c r="V68" s="197">
        <f t="shared" si="4"/>
        <v>1403</v>
      </c>
    </row>
    <row r="69" spans="1:22" ht="15.75" customHeight="1">
      <c r="A69" s="54"/>
      <c r="B69" s="116"/>
      <c r="C69" s="116"/>
      <c r="D69" s="116"/>
      <c r="E69" s="116"/>
      <c r="F69" s="116"/>
      <c r="G69" s="190"/>
      <c r="H69" s="190"/>
      <c r="I69" s="116"/>
      <c r="J69" s="116"/>
      <c r="K69" s="116"/>
      <c r="L69" s="190"/>
      <c r="M69" s="116"/>
      <c r="N69" s="116"/>
      <c r="O69" s="116"/>
      <c r="P69" s="190"/>
      <c r="Q69" s="116"/>
      <c r="R69" s="116"/>
      <c r="S69" s="190"/>
      <c r="T69" s="190"/>
      <c r="U69" s="190"/>
      <c r="V69" s="190"/>
    </row>
    <row r="70" spans="1:22" ht="15.75" customHeight="1">
      <c r="A70" s="54">
        <v>48</v>
      </c>
      <c r="B70" s="116" t="s">
        <v>34</v>
      </c>
      <c r="C70" s="116">
        <v>1213167</v>
      </c>
      <c r="D70" s="116">
        <v>69757</v>
      </c>
      <c r="E70" s="116">
        <v>1213167</v>
      </c>
      <c r="F70" s="116">
        <v>69737</v>
      </c>
      <c r="G70" s="190">
        <f>'TABLE-75'!M64+'TABLE-76'!M64</f>
        <v>272962</v>
      </c>
      <c r="H70" s="190">
        <f>'TABLE-75'!N64+'TABLE-76'!N64</f>
        <v>15694</v>
      </c>
      <c r="I70" s="116">
        <v>0</v>
      </c>
      <c r="J70" s="116">
        <v>0</v>
      </c>
      <c r="K70" s="116">
        <v>0</v>
      </c>
      <c r="L70" s="190">
        <f>'TABLE-36'!F65+'TABLE-36'!I65</f>
        <v>0</v>
      </c>
      <c r="M70" s="116">
        <v>0</v>
      </c>
      <c r="N70" s="116">
        <v>0</v>
      </c>
      <c r="O70" s="116">
        <v>0</v>
      </c>
      <c r="P70" s="190">
        <f>'TABLE-36'!L65</f>
        <v>0</v>
      </c>
      <c r="Q70" s="116">
        <v>0</v>
      </c>
      <c r="R70" s="116">
        <v>0</v>
      </c>
      <c r="S70" s="190">
        <f>'TABLE-55'!J69</f>
        <v>0</v>
      </c>
      <c r="T70" s="190">
        <f>'TABLE-55'!K69</f>
        <v>0</v>
      </c>
      <c r="U70" s="190">
        <f>'TABLE-71'!J69</f>
        <v>0</v>
      </c>
      <c r="V70" s="190">
        <f>'TABLE-71'!K69</f>
        <v>0</v>
      </c>
    </row>
    <row r="71" spans="1:22" ht="15.75" customHeight="1">
      <c r="A71" s="54">
        <v>49</v>
      </c>
      <c r="B71" s="116" t="s">
        <v>130</v>
      </c>
      <c r="C71" s="116">
        <v>355834</v>
      </c>
      <c r="D71" s="116">
        <v>32183</v>
      </c>
      <c r="E71" s="116">
        <v>255834</v>
      </c>
      <c r="F71" s="116">
        <v>29932</v>
      </c>
      <c r="G71" s="190">
        <f>'TABLE-75'!M65+'TABLE-76'!M65</f>
        <v>144725</v>
      </c>
      <c r="H71" s="190">
        <f>'TABLE-75'!N65+'TABLE-76'!N65</f>
        <v>28014</v>
      </c>
      <c r="I71" s="116">
        <v>0</v>
      </c>
      <c r="J71" s="116">
        <v>0</v>
      </c>
      <c r="K71" s="116">
        <v>0</v>
      </c>
      <c r="L71" s="190">
        <f>'TABLE-36'!F66+'TABLE-36'!I66</f>
        <v>0</v>
      </c>
      <c r="M71" s="116">
        <v>37043</v>
      </c>
      <c r="N71" s="116">
        <v>5625</v>
      </c>
      <c r="O71" s="116">
        <v>0</v>
      </c>
      <c r="P71" s="190">
        <f>'TABLE-36'!L66</f>
        <v>0</v>
      </c>
      <c r="Q71" s="116">
        <v>0</v>
      </c>
      <c r="R71" s="116">
        <v>0</v>
      </c>
      <c r="S71" s="190">
        <f>'TABLE-55'!J70</f>
        <v>0</v>
      </c>
      <c r="T71" s="190">
        <f>'TABLE-55'!K70</f>
        <v>0</v>
      </c>
      <c r="U71" s="190">
        <f>'TABLE-71'!J70</f>
        <v>0</v>
      </c>
      <c r="V71" s="190">
        <f>'TABLE-71'!K70</f>
        <v>0</v>
      </c>
    </row>
    <row r="72" spans="1:22" s="327" customFormat="1" ht="15.75" customHeight="1">
      <c r="A72" s="325"/>
      <c r="B72" s="328" t="s">
        <v>123</v>
      </c>
      <c r="C72" s="326">
        <f aca="true" t="shared" si="5" ref="C72:H72">SUM(C70:C71)</f>
        <v>1569001</v>
      </c>
      <c r="D72" s="326">
        <f t="shared" si="5"/>
        <v>101940</v>
      </c>
      <c r="E72" s="326">
        <f t="shared" si="5"/>
        <v>1469001</v>
      </c>
      <c r="F72" s="326">
        <f t="shared" si="5"/>
        <v>99669</v>
      </c>
      <c r="G72" s="197">
        <f t="shared" si="5"/>
        <v>417687</v>
      </c>
      <c r="H72" s="197">
        <f t="shared" si="5"/>
        <v>43708</v>
      </c>
      <c r="I72" s="326">
        <f aca="true" t="shared" si="6" ref="I72:V72">SUM(I70:I71)</f>
        <v>0</v>
      </c>
      <c r="J72" s="326">
        <f t="shared" si="6"/>
        <v>0</v>
      </c>
      <c r="K72" s="326">
        <f t="shared" si="6"/>
        <v>0</v>
      </c>
      <c r="L72" s="197">
        <f t="shared" si="6"/>
        <v>0</v>
      </c>
      <c r="M72" s="326">
        <f t="shared" si="6"/>
        <v>37043</v>
      </c>
      <c r="N72" s="326">
        <f t="shared" si="6"/>
        <v>5625</v>
      </c>
      <c r="O72" s="326">
        <f t="shared" si="6"/>
        <v>0</v>
      </c>
      <c r="P72" s="197">
        <f t="shared" si="6"/>
        <v>0</v>
      </c>
      <c r="Q72" s="326">
        <f t="shared" si="6"/>
        <v>0</v>
      </c>
      <c r="R72" s="326">
        <f t="shared" si="6"/>
        <v>0</v>
      </c>
      <c r="S72" s="197">
        <f t="shared" si="6"/>
        <v>0</v>
      </c>
      <c r="T72" s="197">
        <f t="shared" si="6"/>
        <v>0</v>
      </c>
      <c r="U72" s="197">
        <f t="shared" si="6"/>
        <v>0</v>
      </c>
      <c r="V72" s="197">
        <f t="shared" si="6"/>
        <v>0</v>
      </c>
    </row>
    <row r="73" spans="1:22" ht="15.75" customHeight="1">
      <c r="A73" s="115"/>
      <c r="B73" s="175"/>
      <c r="C73" s="121"/>
      <c r="D73" s="121"/>
      <c r="E73" s="121"/>
      <c r="F73" s="121"/>
      <c r="G73" s="249"/>
      <c r="H73" s="249"/>
      <c r="I73" s="121"/>
      <c r="J73" s="121"/>
      <c r="K73" s="121"/>
      <c r="L73" s="249"/>
      <c r="M73" s="121"/>
      <c r="N73" s="121"/>
      <c r="O73" s="121"/>
      <c r="P73" s="249"/>
      <c r="Q73" s="121"/>
      <c r="R73" s="121"/>
      <c r="S73" s="249"/>
      <c r="T73" s="249"/>
      <c r="U73" s="249"/>
      <c r="V73" s="249"/>
    </row>
    <row r="74" spans="1:22" ht="15.75" customHeight="1">
      <c r="A74" s="325"/>
      <c r="B74" s="328" t="s">
        <v>35</v>
      </c>
      <c r="C74" s="326">
        <f aca="true" t="shared" si="7" ref="C74:V74">C51+C68+C72</f>
        <v>3017959</v>
      </c>
      <c r="D74" s="326">
        <f t="shared" si="7"/>
        <v>1093593</v>
      </c>
      <c r="E74" s="326">
        <f t="shared" si="7"/>
        <v>2390371</v>
      </c>
      <c r="F74" s="326">
        <f t="shared" si="7"/>
        <v>677036</v>
      </c>
      <c r="G74" s="197">
        <f t="shared" si="7"/>
        <v>978180</v>
      </c>
      <c r="H74" s="197">
        <f t="shared" si="7"/>
        <v>329592</v>
      </c>
      <c r="I74" s="326">
        <f t="shared" si="7"/>
        <v>13063</v>
      </c>
      <c r="J74" s="326">
        <f t="shared" si="7"/>
        <v>2295</v>
      </c>
      <c r="K74" s="326">
        <f t="shared" si="7"/>
        <v>166646</v>
      </c>
      <c r="L74" s="197">
        <f t="shared" si="7"/>
        <v>63739</v>
      </c>
      <c r="M74" s="326">
        <f t="shared" si="7"/>
        <v>83151</v>
      </c>
      <c r="N74" s="326">
        <f t="shared" si="7"/>
        <v>28571</v>
      </c>
      <c r="O74" s="326">
        <f t="shared" si="7"/>
        <v>53306</v>
      </c>
      <c r="P74" s="197">
        <f t="shared" si="7"/>
        <v>18152</v>
      </c>
      <c r="Q74" s="326">
        <f t="shared" si="7"/>
        <v>71891</v>
      </c>
      <c r="R74" s="326">
        <f t="shared" si="7"/>
        <v>35950</v>
      </c>
      <c r="S74" s="197">
        <f t="shared" si="7"/>
        <v>12161</v>
      </c>
      <c r="T74" s="197">
        <f t="shared" si="7"/>
        <v>3544</v>
      </c>
      <c r="U74" s="197">
        <f t="shared" si="7"/>
        <v>25623</v>
      </c>
      <c r="V74" s="197">
        <f t="shared" si="7"/>
        <v>7689</v>
      </c>
    </row>
    <row r="75" spans="7:8" ht="12.75">
      <c r="G75" s="415"/>
      <c r="H75" s="415"/>
    </row>
    <row r="83" spans="3:9" ht="12.75">
      <c r="C83" s="309">
        <v>4</v>
      </c>
      <c r="D83" s="309" t="s">
        <v>403</v>
      </c>
      <c r="I83" s="309">
        <v>10523</v>
      </c>
    </row>
    <row r="85" ht="12.75">
      <c r="R85" s="309">
        <f>790+45+241+2029+230+150+2094+27+141+19+228+147+2618+70+702+990+2</f>
        <v>10523</v>
      </c>
    </row>
  </sheetData>
  <sheetProtection/>
  <mergeCells count="20">
    <mergeCell ref="M58:N58"/>
    <mergeCell ref="M5:N5"/>
    <mergeCell ref="M6:N6"/>
    <mergeCell ref="M7:N7"/>
    <mergeCell ref="U6:V6"/>
    <mergeCell ref="U57:V57"/>
    <mergeCell ref="M56:N56"/>
    <mergeCell ref="M57:N57"/>
    <mergeCell ref="O6:P6"/>
    <mergeCell ref="Q6:R6"/>
    <mergeCell ref="S6:T6"/>
    <mergeCell ref="O57:P57"/>
    <mergeCell ref="Q57:R57"/>
    <mergeCell ref="S57:T57"/>
    <mergeCell ref="I57:J57"/>
    <mergeCell ref="I6:J6"/>
    <mergeCell ref="C4:D4"/>
    <mergeCell ref="E4:L4"/>
    <mergeCell ref="C55:D55"/>
    <mergeCell ref="E55:L55"/>
  </mergeCells>
  <printOptions gridLines="1" horizontalCentered="1"/>
  <pageMargins left="0.35" right="0.5" top="0.75" bottom="0.75" header="0.5" footer="0.5"/>
  <pageSetup blackAndWhite="1" horizontalDpi="300" verticalDpi="300" orientation="landscape" paperSize="9" scale="66" r:id="rId2"/>
  <rowBreaks count="1" manualBreakCount="1">
    <brk id="5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1"/>
  <sheetViews>
    <sheetView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3.7109375" style="117" customWidth="1"/>
    <col min="2" max="2" width="22.140625" style="117" bestFit="1" customWidth="1"/>
    <col min="3" max="3" width="10.8515625" style="127" customWidth="1"/>
    <col min="4" max="4" width="11.28125" style="127" customWidth="1"/>
    <col min="5" max="5" width="9.28125" style="127" customWidth="1"/>
    <col min="6" max="6" width="12.140625" style="127" customWidth="1"/>
    <col min="7" max="7" width="11.00390625" style="127" customWidth="1"/>
    <col min="8" max="8" width="9.7109375" style="127" customWidth="1"/>
    <col min="9" max="9" width="11.7109375" style="127" customWidth="1"/>
    <col min="10" max="10" width="11.28125" style="127" customWidth="1"/>
    <col min="11" max="11" width="9.28125" style="127" customWidth="1"/>
    <col min="12" max="16384" width="9.140625" style="117" customWidth="1"/>
  </cols>
  <sheetData>
    <row r="1" spans="1:11" ht="18" customHeight="1">
      <c r="A1" s="292"/>
      <c r="B1" s="292"/>
      <c r="C1" s="259"/>
      <c r="D1" s="294"/>
      <c r="E1" s="259"/>
      <c r="F1" s="435"/>
      <c r="G1" s="294"/>
      <c r="H1" s="259"/>
      <c r="I1" s="99"/>
      <c r="J1" s="99"/>
      <c r="K1" s="99"/>
    </row>
    <row r="2" spans="3:11" ht="18" customHeight="1">
      <c r="C2" s="99"/>
      <c r="D2" s="294"/>
      <c r="E2" s="259"/>
      <c r="F2" s="259"/>
      <c r="G2" s="294"/>
      <c r="H2" s="99"/>
      <c r="I2" s="267"/>
      <c r="J2" s="99"/>
      <c r="K2" s="99"/>
    </row>
    <row r="3" spans="3:11" ht="18" customHeight="1">
      <c r="C3" s="99"/>
      <c r="D3" s="294"/>
      <c r="E3" s="259"/>
      <c r="F3" s="259"/>
      <c r="G3" s="294"/>
      <c r="H3" s="99"/>
      <c r="I3" s="99"/>
      <c r="J3" s="99"/>
      <c r="K3" s="99"/>
    </row>
    <row r="4" spans="1:11" ht="12.75">
      <c r="A4" s="330"/>
      <c r="B4" s="330"/>
      <c r="C4" s="633" t="s">
        <v>215</v>
      </c>
      <c r="D4" s="634"/>
      <c r="E4" s="635"/>
      <c r="F4" s="633" t="s">
        <v>216</v>
      </c>
      <c r="G4" s="634"/>
      <c r="H4" s="635"/>
      <c r="I4" s="633" t="s">
        <v>217</v>
      </c>
      <c r="J4" s="634"/>
      <c r="K4" s="635"/>
    </row>
    <row r="5" spans="1:11" ht="12.75">
      <c r="A5" s="331" t="s">
        <v>4</v>
      </c>
      <c r="B5" s="331" t="s">
        <v>5</v>
      </c>
      <c r="C5" s="257" t="s">
        <v>70</v>
      </c>
      <c r="D5" s="282" t="s">
        <v>71</v>
      </c>
      <c r="E5" s="257" t="s">
        <v>72</v>
      </c>
      <c r="F5" s="257" t="s">
        <v>70</v>
      </c>
      <c r="G5" s="282" t="s">
        <v>71</v>
      </c>
      <c r="H5" s="257" t="s">
        <v>72</v>
      </c>
      <c r="I5" s="257" t="s">
        <v>70</v>
      </c>
      <c r="J5" s="257" t="s">
        <v>71</v>
      </c>
      <c r="K5" s="257" t="s">
        <v>72</v>
      </c>
    </row>
    <row r="6" spans="1:11" ht="12.75">
      <c r="A6" s="332" t="s">
        <v>6</v>
      </c>
      <c r="B6" s="333"/>
      <c r="C6" s="258" t="s">
        <v>73</v>
      </c>
      <c r="D6" s="283" t="s">
        <v>74</v>
      </c>
      <c r="E6" s="258" t="s">
        <v>74</v>
      </c>
      <c r="F6" s="258" t="s">
        <v>73</v>
      </c>
      <c r="G6" s="283" t="s">
        <v>74</v>
      </c>
      <c r="H6" s="258" t="s">
        <v>74</v>
      </c>
      <c r="I6" s="258" t="s">
        <v>73</v>
      </c>
      <c r="J6" s="258" t="s">
        <v>74</v>
      </c>
      <c r="K6" s="258" t="s">
        <v>74</v>
      </c>
    </row>
    <row r="7" spans="1:11" ht="12.75" customHeight="1">
      <c r="A7" s="115">
        <v>1</v>
      </c>
      <c r="B7" s="116" t="s">
        <v>7</v>
      </c>
      <c r="C7" s="190">
        <v>13432</v>
      </c>
      <c r="D7" s="116">
        <v>7839</v>
      </c>
      <c r="E7" s="190">
        <f aca="true" t="shared" si="0" ref="E7:E47">(D7*100)/C7</f>
        <v>58.36063132817153</v>
      </c>
      <c r="F7" s="190">
        <v>8175</v>
      </c>
      <c r="G7" s="116">
        <v>7581</v>
      </c>
      <c r="H7" s="190">
        <f aca="true" t="shared" si="1" ref="H7:H50">(G7*100)/F7</f>
        <v>92.73394495412845</v>
      </c>
      <c r="I7" s="190">
        <f>C7+F7</f>
        <v>21607</v>
      </c>
      <c r="J7" s="190">
        <f>D7+G7</f>
        <v>15420</v>
      </c>
      <c r="K7" s="190">
        <f aca="true" t="shared" si="2" ref="K7:K48">(J7*100)/I7</f>
        <v>71.36576109594112</v>
      </c>
    </row>
    <row r="8" spans="1:11" ht="12.75" customHeight="1">
      <c r="A8" s="115">
        <v>2</v>
      </c>
      <c r="B8" s="116" t="s">
        <v>8</v>
      </c>
      <c r="C8" s="190">
        <v>0</v>
      </c>
      <c r="D8" s="116">
        <v>0</v>
      </c>
      <c r="E8" s="190">
        <v>0</v>
      </c>
      <c r="F8" s="190">
        <v>43</v>
      </c>
      <c r="G8" s="116">
        <v>0</v>
      </c>
      <c r="H8" s="190">
        <f t="shared" si="1"/>
        <v>0</v>
      </c>
      <c r="I8" s="190">
        <f aca="true" t="shared" si="3" ref="I8:I25">C8+F8</f>
        <v>43</v>
      </c>
      <c r="J8" s="190">
        <f aca="true" t="shared" si="4" ref="J8:J23">D8+G8</f>
        <v>0</v>
      </c>
      <c r="K8" s="190">
        <f t="shared" si="2"/>
        <v>0</v>
      </c>
    </row>
    <row r="9" spans="1:11" ht="12.75" customHeight="1">
      <c r="A9" s="115">
        <v>3</v>
      </c>
      <c r="B9" s="116" t="s">
        <v>9</v>
      </c>
      <c r="C9" s="190">
        <v>6797</v>
      </c>
      <c r="D9" s="116">
        <v>6321</v>
      </c>
      <c r="E9" s="190">
        <f t="shared" si="0"/>
        <v>92.99691040164778</v>
      </c>
      <c r="F9" s="190">
        <v>5547</v>
      </c>
      <c r="G9" s="116">
        <v>1649</v>
      </c>
      <c r="H9" s="190">
        <f t="shared" si="1"/>
        <v>29.727780782404903</v>
      </c>
      <c r="I9" s="190">
        <f t="shared" si="3"/>
        <v>12344</v>
      </c>
      <c r="J9" s="190">
        <f t="shared" si="4"/>
        <v>7970</v>
      </c>
      <c r="K9" s="190">
        <f t="shared" si="2"/>
        <v>64.56578094620869</v>
      </c>
    </row>
    <row r="10" spans="1:11" ht="12.75" customHeight="1">
      <c r="A10" s="115">
        <v>4</v>
      </c>
      <c r="B10" s="116" t="s">
        <v>10</v>
      </c>
      <c r="C10" s="190">
        <v>84781</v>
      </c>
      <c r="D10" s="116">
        <v>104841</v>
      </c>
      <c r="E10" s="190">
        <f t="shared" si="0"/>
        <v>123.66096177209516</v>
      </c>
      <c r="F10" s="190">
        <v>27012</v>
      </c>
      <c r="G10" s="116">
        <v>17342</v>
      </c>
      <c r="H10" s="190">
        <f t="shared" si="1"/>
        <v>64.20109580926996</v>
      </c>
      <c r="I10" s="190">
        <f t="shared" si="3"/>
        <v>111793</v>
      </c>
      <c r="J10" s="190">
        <f t="shared" si="4"/>
        <v>122183</v>
      </c>
      <c r="K10" s="190">
        <f t="shared" si="2"/>
        <v>109.29396294937966</v>
      </c>
    </row>
    <row r="11" spans="1:11" ht="12.75" customHeight="1">
      <c r="A11" s="115">
        <v>5</v>
      </c>
      <c r="B11" s="116" t="s">
        <v>11</v>
      </c>
      <c r="C11" s="190">
        <v>8882</v>
      </c>
      <c r="D11" s="116">
        <v>15021</v>
      </c>
      <c r="E11" s="190">
        <f t="shared" si="0"/>
        <v>169.11731591983786</v>
      </c>
      <c r="F11" s="190">
        <v>5608</v>
      </c>
      <c r="G11" s="116">
        <v>1690</v>
      </c>
      <c r="H11" s="190">
        <f t="shared" si="1"/>
        <v>30.13552068473609</v>
      </c>
      <c r="I11" s="190">
        <f t="shared" si="3"/>
        <v>14490</v>
      </c>
      <c r="J11" s="190">
        <f t="shared" si="4"/>
        <v>16711</v>
      </c>
      <c r="K11" s="190">
        <f t="shared" si="2"/>
        <v>115.32781228433403</v>
      </c>
    </row>
    <row r="12" spans="1:11" ht="12.75" customHeight="1">
      <c r="A12" s="115">
        <v>6</v>
      </c>
      <c r="B12" s="116" t="s">
        <v>12</v>
      </c>
      <c r="C12" s="190">
        <v>4271</v>
      </c>
      <c r="D12" s="116">
        <v>5125</v>
      </c>
      <c r="E12" s="190">
        <f t="shared" si="0"/>
        <v>119.99531725591197</v>
      </c>
      <c r="F12" s="190">
        <v>2477</v>
      </c>
      <c r="G12" s="116">
        <v>64</v>
      </c>
      <c r="H12" s="190">
        <f t="shared" si="1"/>
        <v>2.583770690351231</v>
      </c>
      <c r="I12" s="190">
        <f t="shared" si="3"/>
        <v>6748</v>
      </c>
      <c r="J12" s="190">
        <f t="shared" si="4"/>
        <v>5189</v>
      </c>
      <c r="K12" s="190">
        <f t="shared" si="2"/>
        <v>76.89685832839359</v>
      </c>
    </row>
    <row r="13" spans="1:11" s="103" customFormat="1" ht="12.75" customHeight="1">
      <c r="A13" s="54">
        <v>7</v>
      </c>
      <c r="B13" s="57" t="s">
        <v>13</v>
      </c>
      <c r="C13" s="190">
        <v>42748</v>
      </c>
      <c r="D13" s="57">
        <v>35326</v>
      </c>
      <c r="E13" s="190">
        <f t="shared" si="0"/>
        <v>82.63778422382333</v>
      </c>
      <c r="F13" s="190">
        <v>29764</v>
      </c>
      <c r="G13" s="57">
        <v>12067</v>
      </c>
      <c r="H13" s="190">
        <f t="shared" si="1"/>
        <v>40.54226582448596</v>
      </c>
      <c r="I13" s="190">
        <f t="shared" si="3"/>
        <v>72512</v>
      </c>
      <c r="J13" s="190">
        <f t="shared" si="4"/>
        <v>47393</v>
      </c>
      <c r="K13" s="190">
        <f t="shared" si="2"/>
        <v>65.35883715798764</v>
      </c>
    </row>
    <row r="14" spans="1:11" s="103" customFormat="1" ht="12.75" customHeight="1">
      <c r="A14" s="54">
        <v>8</v>
      </c>
      <c r="B14" s="57" t="s">
        <v>162</v>
      </c>
      <c r="C14" s="190">
        <v>301</v>
      </c>
      <c r="D14" s="57">
        <v>28</v>
      </c>
      <c r="E14" s="190">
        <f t="shared" si="0"/>
        <v>9.30232558139535</v>
      </c>
      <c r="F14" s="190">
        <v>142</v>
      </c>
      <c r="G14" s="57">
        <v>665</v>
      </c>
      <c r="H14" s="190">
        <f t="shared" si="1"/>
        <v>468.3098591549296</v>
      </c>
      <c r="I14" s="190">
        <f t="shared" si="3"/>
        <v>443</v>
      </c>
      <c r="J14" s="190">
        <f t="shared" si="4"/>
        <v>693</v>
      </c>
      <c r="K14" s="190">
        <f t="shared" si="2"/>
        <v>156.4334085778781</v>
      </c>
    </row>
    <row r="15" spans="1:11" ht="12.75" customHeight="1">
      <c r="A15" s="115">
        <v>9</v>
      </c>
      <c r="B15" s="116" t="s">
        <v>14</v>
      </c>
      <c r="C15" s="190">
        <v>2509</v>
      </c>
      <c r="D15" s="116">
        <v>2023</v>
      </c>
      <c r="E15" s="190">
        <f t="shared" si="0"/>
        <v>80.62973296133917</v>
      </c>
      <c r="F15" s="190">
        <v>1374</v>
      </c>
      <c r="G15" s="116">
        <v>9015</v>
      </c>
      <c r="H15" s="190">
        <f t="shared" si="1"/>
        <v>656.1135371179039</v>
      </c>
      <c r="I15" s="190">
        <f t="shared" si="3"/>
        <v>3883</v>
      </c>
      <c r="J15" s="190">
        <f t="shared" si="4"/>
        <v>11038</v>
      </c>
      <c r="K15" s="190">
        <f t="shared" si="2"/>
        <v>284.2647437548287</v>
      </c>
    </row>
    <row r="16" spans="1:11" ht="12.75" customHeight="1">
      <c r="A16" s="115">
        <v>10</v>
      </c>
      <c r="B16" s="116" t="s">
        <v>15</v>
      </c>
      <c r="C16" s="190">
        <v>648</v>
      </c>
      <c r="D16" s="116">
        <v>212</v>
      </c>
      <c r="E16" s="190">
        <f t="shared" si="0"/>
        <v>32.71604938271605</v>
      </c>
      <c r="F16" s="190">
        <v>196</v>
      </c>
      <c r="G16" s="116">
        <v>116</v>
      </c>
      <c r="H16" s="190">
        <f t="shared" si="1"/>
        <v>59.183673469387756</v>
      </c>
      <c r="I16" s="190">
        <f t="shared" si="3"/>
        <v>844</v>
      </c>
      <c r="J16" s="190">
        <f t="shared" si="4"/>
        <v>328</v>
      </c>
      <c r="K16" s="190">
        <f t="shared" si="2"/>
        <v>38.86255924170616</v>
      </c>
    </row>
    <row r="17" spans="1:11" ht="12.75" customHeight="1">
      <c r="A17" s="115">
        <v>11</v>
      </c>
      <c r="B17" s="116" t="s">
        <v>16</v>
      </c>
      <c r="C17" s="190">
        <v>85</v>
      </c>
      <c r="D17" s="116">
        <v>5</v>
      </c>
      <c r="E17" s="190">
        <f t="shared" si="0"/>
        <v>5.882352941176471</v>
      </c>
      <c r="F17" s="190">
        <v>121</v>
      </c>
      <c r="G17" s="116">
        <v>166</v>
      </c>
      <c r="H17" s="190">
        <f t="shared" si="1"/>
        <v>137.1900826446281</v>
      </c>
      <c r="I17" s="190">
        <f t="shared" si="3"/>
        <v>206</v>
      </c>
      <c r="J17" s="190">
        <f t="shared" si="4"/>
        <v>171</v>
      </c>
      <c r="K17" s="190">
        <f t="shared" si="2"/>
        <v>83.00970873786407</v>
      </c>
    </row>
    <row r="18" spans="1:11" ht="12.75" customHeight="1">
      <c r="A18" s="115">
        <v>12</v>
      </c>
      <c r="B18" s="116" t="s">
        <v>17</v>
      </c>
      <c r="C18" s="190">
        <v>2884</v>
      </c>
      <c r="D18" s="116">
        <v>2013</v>
      </c>
      <c r="E18" s="190">
        <f t="shared" si="0"/>
        <v>69.79889042995839</v>
      </c>
      <c r="F18" s="190">
        <v>2980</v>
      </c>
      <c r="G18" s="116">
        <v>473</v>
      </c>
      <c r="H18" s="190">
        <f t="shared" si="1"/>
        <v>15.87248322147651</v>
      </c>
      <c r="I18" s="190">
        <f t="shared" si="3"/>
        <v>5864</v>
      </c>
      <c r="J18" s="190">
        <f t="shared" si="4"/>
        <v>2486</v>
      </c>
      <c r="K18" s="190">
        <f t="shared" si="2"/>
        <v>42.394270122783084</v>
      </c>
    </row>
    <row r="19" spans="1:11" ht="12.75" customHeight="1">
      <c r="A19" s="115">
        <v>13</v>
      </c>
      <c r="B19" s="116" t="s">
        <v>164</v>
      </c>
      <c r="C19" s="190">
        <v>1930</v>
      </c>
      <c r="D19" s="116">
        <v>1423</v>
      </c>
      <c r="E19" s="190">
        <f t="shared" si="0"/>
        <v>73.73056994818653</v>
      </c>
      <c r="F19" s="190">
        <v>1022</v>
      </c>
      <c r="G19" s="116">
        <v>189</v>
      </c>
      <c r="H19" s="190">
        <f t="shared" si="1"/>
        <v>18.493150684931507</v>
      </c>
      <c r="I19" s="190">
        <f t="shared" si="3"/>
        <v>2952</v>
      </c>
      <c r="J19" s="190">
        <f t="shared" si="4"/>
        <v>1612</v>
      </c>
      <c r="K19" s="190">
        <f t="shared" si="2"/>
        <v>54.607046070460704</v>
      </c>
    </row>
    <row r="20" spans="1:11" ht="12.75" customHeight="1">
      <c r="A20" s="115">
        <v>14</v>
      </c>
      <c r="B20" s="116" t="s">
        <v>77</v>
      </c>
      <c r="C20" s="190">
        <v>22989</v>
      </c>
      <c r="D20" s="116">
        <v>59387</v>
      </c>
      <c r="E20" s="190">
        <f t="shared" si="0"/>
        <v>258.32789595023706</v>
      </c>
      <c r="F20" s="190">
        <v>9634</v>
      </c>
      <c r="G20" s="116">
        <v>21259</v>
      </c>
      <c r="H20" s="190">
        <f t="shared" si="1"/>
        <v>220.6663898692132</v>
      </c>
      <c r="I20" s="190">
        <f t="shared" si="3"/>
        <v>32623</v>
      </c>
      <c r="J20" s="190">
        <f t="shared" si="4"/>
        <v>80646</v>
      </c>
      <c r="K20" s="190">
        <f t="shared" si="2"/>
        <v>247.2059589859915</v>
      </c>
    </row>
    <row r="21" spans="1:11" ht="12.75" customHeight="1">
      <c r="A21" s="115">
        <v>15</v>
      </c>
      <c r="B21" s="116" t="s">
        <v>105</v>
      </c>
      <c r="C21" s="190">
        <v>2700</v>
      </c>
      <c r="D21" s="116">
        <v>704</v>
      </c>
      <c r="E21" s="190">
        <f t="shared" si="0"/>
        <v>26.074074074074073</v>
      </c>
      <c r="F21" s="190">
        <v>1422</v>
      </c>
      <c r="G21" s="116">
        <v>441</v>
      </c>
      <c r="H21" s="190">
        <f t="shared" si="1"/>
        <v>31.0126582278481</v>
      </c>
      <c r="I21" s="190">
        <f t="shared" si="3"/>
        <v>4122</v>
      </c>
      <c r="J21" s="190">
        <f t="shared" si="4"/>
        <v>1145</v>
      </c>
      <c r="K21" s="190">
        <f t="shared" si="2"/>
        <v>27.77777777777778</v>
      </c>
    </row>
    <row r="22" spans="1:11" s="103" customFormat="1" ht="12.75" customHeight="1">
      <c r="A22" s="54">
        <v>16</v>
      </c>
      <c r="B22" s="57" t="s">
        <v>20</v>
      </c>
      <c r="C22" s="190">
        <v>9499</v>
      </c>
      <c r="D22" s="57">
        <v>19470</v>
      </c>
      <c r="E22" s="190">
        <f t="shared" si="0"/>
        <v>204.9689440993789</v>
      </c>
      <c r="F22" s="190">
        <v>6278</v>
      </c>
      <c r="G22" s="57">
        <v>2582</v>
      </c>
      <c r="H22" s="190">
        <f t="shared" si="1"/>
        <v>41.12774769034724</v>
      </c>
      <c r="I22" s="190">
        <f t="shared" si="3"/>
        <v>15777</v>
      </c>
      <c r="J22" s="190">
        <f t="shared" si="4"/>
        <v>22052</v>
      </c>
      <c r="K22" s="190">
        <f t="shared" si="2"/>
        <v>139.77308740571718</v>
      </c>
    </row>
    <row r="23" spans="1:11" ht="12.75" customHeight="1">
      <c r="A23" s="115">
        <v>17</v>
      </c>
      <c r="B23" s="116" t="s">
        <v>21</v>
      </c>
      <c r="C23" s="190">
        <v>18779</v>
      </c>
      <c r="D23" s="116">
        <v>7758</v>
      </c>
      <c r="E23" s="190">
        <f t="shared" si="0"/>
        <v>41.312103945897015</v>
      </c>
      <c r="F23" s="190">
        <v>10750</v>
      </c>
      <c r="G23" s="116">
        <v>5026</v>
      </c>
      <c r="H23" s="190">
        <f t="shared" si="1"/>
        <v>46.753488372093024</v>
      </c>
      <c r="I23" s="190">
        <f t="shared" si="3"/>
        <v>29529</v>
      </c>
      <c r="J23" s="190">
        <f t="shared" si="4"/>
        <v>12784</v>
      </c>
      <c r="K23" s="190">
        <f t="shared" si="2"/>
        <v>43.293033966609094</v>
      </c>
    </row>
    <row r="24" spans="1:11" ht="12.75" customHeight="1">
      <c r="A24" s="115">
        <v>18</v>
      </c>
      <c r="B24" s="116" t="s">
        <v>19</v>
      </c>
      <c r="C24" s="190">
        <v>201</v>
      </c>
      <c r="D24" s="116">
        <v>13</v>
      </c>
      <c r="E24" s="190">
        <f t="shared" si="0"/>
        <v>6.467661691542289</v>
      </c>
      <c r="F24" s="190">
        <v>40</v>
      </c>
      <c r="G24" s="116">
        <v>21</v>
      </c>
      <c r="H24" s="190">
        <f t="shared" si="1"/>
        <v>52.5</v>
      </c>
      <c r="I24" s="190">
        <f t="shared" si="3"/>
        <v>241</v>
      </c>
      <c r="J24" s="190">
        <f>D24+G24</f>
        <v>34</v>
      </c>
      <c r="K24" s="190">
        <f t="shared" si="2"/>
        <v>14.107883817427386</v>
      </c>
    </row>
    <row r="25" spans="1:11" ht="12.75" customHeight="1">
      <c r="A25" s="115">
        <v>19</v>
      </c>
      <c r="B25" s="116" t="s">
        <v>124</v>
      </c>
      <c r="C25" s="190">
        <v>167</v>
      </c>
      <c r="D25" s="116">
        <v>367</v>
      </c>
      <c r="E25" s="190">
        <f t="shared" si="0"/>
        <v>219.76047904191617</v>
      </c>
      <c r="F25" s="190">
        <v>115</v>
      </c>
      <c r="G25" s="116">
        <v>115</v>
      </c>
      <c r="H25" s="190">
        <f t="shared" si="1"/>
        <v>100</v>
      </c>
      <c r="I25" s="190">
        <f t="shared" si="3"/>
        <v>282</v>
      </c>
      <c r="J25" s="190">
        <f>D25+G25</f>
        <v>482</v>
      </c>
      <c r="K25" s="190">
        <f t="shared" si="2"/>
        <v>170.92198581560282</v>
      </c>
    </row>
    <row r="26" spans="1:11" s="334" customFormat="1" ht="12.75" customHeight="1">
      <c r="A26" s="325"/>
      <c r="B26" s="326" t="s">
        <v>224</v>
      </c>
      <c r="C26" s="197">
        <f>SUM(C7:C25)</f>
        <v>223603</v>
      </c>
      <c r="D26" s="326">
        <f>SUM(D7:D25)</f>
        <v>267876</v>
      </c>
      <c r="E26" s="197">
        <f t="shared" si="0"/>
        <v>119.7998237948507</v>
      </c>
      <c r="F26" s="197">
        <f>SUM(F7:F25)</f>
        <v>112700</v>
      </c>
      <c r="G26" s="326">
        <f>SUM(G7:G25)</f>
        <v>80461</v>
      </c>
      <c r="H26" s="197">
        <f t="shared" si="1"/>
        <v>71.39396628216504</v>
      </c>
      <c r="I26" s="197">
        <f>SUM(I7:I25)</f>
        <v>336303</v>
      </c>
      <c r="J26" s="197">
        <f>SUM(J7:J25)</f>
        <v>348337</v>
      </c>
      <c r="K26" s="197">
        <f t="shared" si="2"/>
        <v>103.57832074052268</v>
      </c>
    </row>
    <row r="27" spans="1:11" ht="12.75" customHeight="1">
      <c r="A27" s="54">
        <v>20</v>
      </c>
      <c r="B27" s="116" t="s">
        <v>23</v>
      </c>
      <c r="C27" s="190">
        <v>0</v>
      </c>
      <c r="D27" s="116">
        <v>0</v>
      </c>
      <c r="E27" s="190">
        <v>0</v>
      </c>
      <c r="F27" s="190">
        <v>0</v>
      </c>
      <c r="G27" s="116">
        <v>0</v>
      </c>
      <c r="H27" s="190">
        <v>0</v>
      </c>
      <c r="I27" s="190">
        <f aca="true" t="shared" si="5" ref="I27:I33">C27+F27</f>
        <v>0</v>
      </c>
      <c r="J27" s="190">
        <f aca="true" t="shared" si="6" ref="J27:J33">D27+G27</f>
        <v>0</v>
      </c>
      <c r="K27" s="190">
        <v>0</v>
      </c>
    </row>
    <row r="28" spans="1:11" ht="12.75" customHeight="1">
      <c r="A28" s="54">
        <v>21</v>
      </c>
      <c r="B28" s="116" t="s">
        <v>269</v>
      </c>
      <c r="C28" s="190">
        <v>0</v>
      </c>
      <c r="D28" s="116">
        <v>0</v>
      </c>
      <c r="E28" s="190">
        <v>0</v>
      </c>
      <c r="F28" s="190">
        <v>0</v>
      </c>
      <c r="G28" s="116">
        <v>0</v>
      </c>
      <c r="H28" s="190">
        <v>0</v>
      </c>
      <c r="I28" s="190">
        <f t="shared" si="5"/>
        <v>0</v>
      </c>
      <c r="J28" s="190">
        <f t="shared" si="6"/>
        <v>0</v>
      </c>
      <c r="K28" s="190">
        <v>0</v>
      </c>
    </row>
    <row r="29" spans="1:11" ht="12.75" customHeight="1">
      <c r="A29" s="54">
        <v>22</v>
      </c>
      <c r="B29" s="116" t="s">
        <v>169</v>
      </c>
      <c r="C29" s="190">
        <v>0</v>
      </c>
      <c r="D29" s="116">
        <v>0</v>
      </c>
      <c r="E29" s="190">
        <v>0</v>
      </c>
      <c r="F29" s="190">
        <v>0</v>
      </c>
      <c r="G29" s="116">
        <v>0</v>
      </c>
      <c r="H29" s="190">
        <v>0</v>
      </c>
      <c r="I29" s="190">
        <f t="shared" si="5"/>
        <v>0</v>
      </c>
      <c r="J29" s="190">
        <f t="shared" si="6"/>
        <v>0</v>
      </c>
      <c r="K29" s="190">
        <v>0</v>
      </c>
    </row>
    <row r="30" spans="1:11" ht="12.75" customHeight="1">
      <c r="A30" s="54">
        <v>23</v>
      </c>
      <c r="B30" s="116" t="s">
        <v>22</v>
      </c>
      <c r="C30" s="190">
        <v>0</v>
      </c>
      <c r="D30" s="116">
        <v>0</v>
      </c>
      <c r="E30" s="190">
        <v>0</v>
      </c>
      <c r="F30" s="190">
        <v>0</v>
      </c>
      <c r="G30" s="116">
        <v>0</v>
      </c>
      <c r="H30" s="190">
        <v>0</v>
      </c>
      <c r="I30" s="190">
        <f t="shared" si="5"/>
        <v>0</v>
      </c>
      <c r="J30" s="190">
        <f t="shared" si="6"/>
        <v>0</v>
      </c>
      <c r="K30" s="190">
        <v>0</v>
      </c>
    </row>
    <row r="31" spans="1:11" s="103" customFormat="1" ht="12.75" customHeight="1">
      <c r="A31" s="54">
        <v>24</v>
      </c>
      <c r="B31" s="57" t="s">
        <v>141</v>
      </c>
      <c r="C31" s="190">
        <v>76</v>
      </c>
      <c r="D31" s="57">
        <v>0</v>
      </c>
      <c r="E31" s="190">
        <f t="shared" si="0"/>
        <v>0</v>
      </c>
      <c r="F31" s="190">
        <v>76</v>
      </c>
      <c r="G31" s="57">
        <v>0</v>
      </c>
      <c r="H31" s="190">
        <f>(G31*100)/F31</f>
        <v>0</v>
      </c>
      <c r="I31" s="190">
        <f t="shared" si="5"/>
        <v>152</v>
      </c>
      <c r="J31" s="190">
        <f t="shared" si="6"/>
        <v>0</v>
      </c>
      <c r="K31" s="190">
        <f t="shared" si="2"/>
        <v>0</v>
      </c>
    </row>
    <row r="32" spans="1:11" ht="12.75" customHeight="1">
      <c r="A32" s="54">
        <v>25</v>
      </c>
      <c r="B32" s="116" t="s">
        <v>18</v>
      </c>
      <c r="C32" s="190">
        <v>115485</v>
      </c>
      <c r="D32" s="116">
        <v>159113</v>
      </c>
      <c r="E32" s="190">
        <f t="shared" si="0"/>
        <v>137.7780664155518</v>
      </c>
      <c r="F32" s="190">
        <v>45429</v>
      </c>
      <c r="G32" s="116">
        <v>28259</v>
      </c>
      <c r="H32" s="190">
        <f t="shared" si="1"/>
        <v>62.20475907459993</v>
      </c>
      <c r="I32" s="190">
        <f t="shared" si="5"/>
        <v>160914</v>
      </c>
      <c r="J32" s="190">
        <f t="shared" si="6"/>
        <v>187372</v>
      </c>
      <c r="K32" s="190">
        <f t="shared" si="2"/>
        <v>116.44232322855687</v>
      </c>
    </row>
    <row r="33" spans="1:11" ht="12.75" customHeight="1">
      <c r="A33" s="54">
        <v>26</v>
      </c>
      <c r="B33" s="116" t="s">
        <v>104</v>
      </c>
      <c r="C33" s="190">
        <v>73903</v>
      </c>
      <c r="D33" s="116">
        <v>38542</v>
      </c>
      <c r="E33" s="190">
        <f t="shared" si="0"/>
        <v>52.15214537975454</v>
      </c>
      <c r="F33" s="190">
        <v>34734</v>
      </c>
      <c r="G33" s="116">
        <v>24973</v>
      </c>
      <c r="H33" s="190">
        <f t="shared" si="1"/>
        <v>71.8978522485173</v>
      </c>
      <c r="I33" s="190">
        <f t="shared" si="5"/>
        <v>108637</v>
      </c>
      <c r="J33" s="190">
        <f t="shared" si="6"/>
        <v>63515</v>
      </c>
      <c r="K33" s="190">
        <f t="shared" si="2"/>
        <v>58.465347901727775</v>
      </c>
    </row>
    <row r="34" spans="1:11" s="334" customFormat="1" ht="12.75" customHeight="1">
      <c r="A34" s="325"/>
      <c r="B34" s="326" t="s">
        <v>226</v>
      </c>
      <c r="C34" s="197">
        <f>SUM(C27:C33)</f>
        <v>189464</v>
      </c>
      <c r="D34" s="326">
        <f>SUM(D27:D33)</f>
        <v>197655</v>
      </c>
      <c r="E34" s="197">
        <f t="shared" si="0"/>
        <v>104.32324874382468</v>
      </c>
      <c r="F34" s="197">
        <f>SUM(F27:F33)</f>
        <v>80239</v>
      </c>
      <c r="G34" s="326">
        <f>SUM(G27:G33)</f>
        <v>53232</v>
      </c>
      <c r="H34" s="197">
        <f t="shared" si="1"/>
        <v>66.34180386096537</v>
      </c>
      <c r="I34" s="197">
        <f>SUM(I27:I33)</f>
        <v>269703</v>
      </c>
      <c r="J34" s="197">
        <f>SUM(J27:J33)</f>
        <v>250887</v>
      </c>
      <c r="K34" s="197">
        <f t="shared" si="2"/>
        <v>93.02343689169197</v>
      </c>
    </row>
    <row r="35" spans="1:11" ht="12.75" customHeight="1">
      <c r="A35" s="54">
        <v>27</v>
      </c>
      <c r="B35" s="116" t="s">
        <v>163</v>
      </c>
      <c r="C35" s="190">
        <v>348</v>
      </c>
      <c r="D35" s="116">
        <v>361</v>
      </c>
      <c r="E35" s="190">
        <f t="shared" si="0"/>
        <v>103.73563218390805</v>
      </c>
      <c r="F35" s="190">
        <v>129</v>
      </c>
      <c r="G35" s="116">
        <v>0</v>
      </c>
      <c r="H35" s="190">
        <f t="shared" si="1"/>
        <v>0</v>
      </c>
      <c r="I35" s="190">
        <f aca="true" t="shared" si="7" ref="I35:I48">C35+F35</f>
        <v>477</v>
      </c>
      <c r="J35" s="190">
        <f aca="true" t="shared" si="8" ref="J35:J48">D35+G35</f>
        <v>361</v>
      </c>
      <c r="K35" s="190">
        <f t="shared" si="2"/>
        <v>75.68134171907757</v>
      </c>
    </row>
    <row r="36" spans="1:11" s="103" customFormat="1" ht="12.75" customHeight="1">
      <c r="A36" s="54">
        <v>28</v>
      </c>
      <c r="B36" s="57" t="s">
        <v>231</v>
      </c>
      <c r="C36" s="190">
        <v>2701</v>
      </c>
      <c r="D36" s="57">
        <v>502</v>
      </c>
      <c r="E36" s="190">
        <f t="shared" si="0"/>
        <v>18.5857089966679</v>
      </c>
      <c r="F36" s="190">
        <v>9125</v>
      </c>
      <c r="G36" s="57">
        <v>17670</v>
      </c>
      <c r="H36" s="190">
        <f t="shared" si="1"/>
        <v>193.64383561643837</v>
      </c>
      <c r="I36" s="190">
        <f t="shared" si="7"/>
        <v>11826</v>
      </c>
      <c r="J36" s="190">
        <f t="shared" si="8"/>
        <v>18172</v>
      </c>
      <c r="K36" s="190">
        <f t="shared" si="2"/>
        <v>153.66142398105868</v>
      </c>
    </row>
    <row r="37" spans="1:11" ht="12.75" customHeight="1">
      <c r="A37" s="54">
        <v>29</v>
      </c>
      <c r="B37" s="116" t="s">
        <v>218</v>
      </c>
      <c r="C37" s="190">
        <v>5539</v>
      </c>
      <c r="D37" s="116">
        <v>0</v>
      </c>
      <c r="E37" s="190">
        <f t="shared" si="0"/>
        <v>0</v>
      </c>
      <c r="F37" s="190">
        <v>4797</v>
      </c>
      <c r="G37" s="116">
        <v>20089</v>
      </c>
      <c r="H37" s="190">
        <f t="shared" si="1"/>
        <v>418.78257244110904</v>
      </c>
      <c r="I37" s="190">
        <f t="shared" si="7"/>
        <v>10336</v>
      </c>
      <c r="J37" s="190">
        <f t="shared" si="8"/>
        <v>20089</v>
      </c>
      <c r="K37" s="190">
        <f t="shared" si="2"/>
        <v>194.35952012383902</v>
      </c>
    </row>
    <row r="38" spans="1:11" ht="12.75" customHeight="1">
      <c r="A38" s="54">
        <v>30</v>
      </c>
      <c r="B38" s="116" t="s">
        <v>236</v>
      </c>
      <c r="C38" s="190">
        <v>957</v>
      </c>
      <c r="D38" s="116">
        <v>24</v>
      </c>
      <c r="E38" s="190">
        <f t="shared" si="0"/>
        <v>2.5078369905956115</v>
      </c>
      <c r="F38" s="190">
        <v>438</v>
      </c>
      <c r="G38" s="116">
        <v>89</v>
      </c>
      <c r="H38" s="190">
        <f t="shared" si="1"/>
        <v>20.319634703196346</v>
      </c>
      <c r="I38" s="190">
        <f t="shared" si="7"/>
        <v>1395</v>
      </c>
      <c r="J38" s="190">
        <f t="shared" si="8"/>
        <v>113</v>
      </c>
      <c r="K38" s="190">
        <f t="shared" si="2"/>
        <v>8.100358422939069</v>
      </c>
    </row>
    <row r="39" spans="1:11" s="103" customFormat="1" ht="12.75" customHeight="1">
      <c r="A39" s="54">
        <v>31</v>
      </c>
      <c r="B39" s="57" t="s">
        <v>219</v>
      </c>
      <c r="C39" s="190">
        <v>32</v>
      </c>
      <c r="D39" s="57">
        <v>1117</v>
      </c>
      <c r="E39" s="190">
        <f t="shared" si="0"/>
        <v>3490.625</v>
      </c>
      <c r="F39" s="190">
        <v>386</v>
      </c>
      <c r="G39" s="57">
        <v>0</v>
      </c>
      <c r="H39" s="190">
        <f t="shared" si="1"/>
        <v>0</v>
      </c>
      <c r="I39" s="190">
        <f t="shared" si="7"/>
        <v>418</v>
      </c>
      <c r="J39" s="190">
        <f t="shared" si="8"/>
        <v>1117</v>
      </c>
      <c r="K39" s="190">
        <f t="shared" si="2"/>
        <v>267.2248803827751</v>
      </c>
    </row>
    <row r="40" spans="1:11" ht="12.75" customHeight="1">
      <c r="A40" s="54">
        <v>32</v>
      </c>
      <c r="B40" s="116" t="s">
        <v>220</v>
      </c>
      <c r="C40" s="190">
        <v>0</v>
      </c>
      <c r="D40" s="116">
        <v>0</v>
      </c>
      <c r="E40" s="190">
        <v>0</v>
      </c>
      <c r="F40" s="190">
        <v>400</v>
      </c>
      <c r="G40" s="116">
        <v>110</v>
      </c>
      <c r="H40" s="190">
        <f t="shared" si="1"/>
        <v>27.5</v>
      </c>
      <c r="I40" s="190">
        <f t="shared" si="7"/>
        <v>400</v>
      </c>
      <c r="J40" s="190">
        <f t="shared" si="8"/>
        <v>110</v>
      </c>
      <c r="K40" s="190">
        <f t="shared" si="2"/>
        <v>27.5</v>
      </c>
    </row>
    <row r="41" spans="1:256" ht="12.75" customHeight="1">
      <c r="A41" s="110">
        <v>33</v>
      </c>
      <c r="B41" s="149" t="s">
        <v>363</v>
      </c>
      <c r="C41" s="190">
        <v>0</v>
      </c>
      <c r="D41" s="116">
        <v>0</v>
      </c>
      <c r="E41" s="190">
        <v>0</v>
      </c>
      <c r="F41" s="190">
        <v>0</v>
      </c>
      <c r="G41" s="116">
        <v>0</v>
      </c>
      <c r="H41" s="190">
        <v>0</v>
      </c>
      <c r="I41" s="190">
        <f>C41+F41</f>
        <v>0</v>
      </c>
      <c r="J41" s="190">
        <f>D41+G41</f>
        <v>0</v>
      </c>
      <c r="K41" s="190">
        <v>0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  <c r="IU41" s="149"/>
      <c r="IV41" s="149"/>
    </row>
    <row r="42" spans="1:11" s="103" customFormat="1" ht="12.75" customHeight="1">
      <c r="A42" s="54">
        <v>34</v>
      </c>
      <c r="B42" s="57" t="s">
        <v>242</v>
      </c>
      <c r="C42" s="190">
        <v>0</v>
      </c>
      <c r="D42" s="57">
        <v>0</v>
      </c>
      <c r="E42" s="190">
        <v>0</v>
      </c>
      <c r="F42" s="190">
        <v>0</v>
      </c>
      <c r="G42" s="57">
        <v>0</v>
      </c>
      <c r="H42" s="190">
        <v>0</v>
      </c>
      <c r="I42" s="190">
        <f t="shared" si="7"/>
        <v>0</v>
      </c>
      <c r="J42" s="190">
        <f t="shared" si="8"/>
        <v>0</v>
      </c>
      <c r="K42" s="190">
        <v>0</v>
      </c>
    </row>
    <row r="43" spans="1:11" ht="12.75" customHeight="1">
      <c r="A43" s="54">
        <v>35</v>
      </c>
      <c r="B43" s="116" t="s">
        <v>256</v>
      </c>
      <c r="C43" s="190">
        <v>115</v>
      </c>
      <c r="D43" s="116">
        <v>0</v>
      </c>
      <c r="E43" s="190">
        <f t="shared" si="0"/>
        <v>0</v>
      </c>
      <c r="F43" s="190">
        <v>152</v>
      </c>
      <c r="G43" s="116">
        <v>0</v>
      </c>
      <c r="H43" s="190">
        <f t="shared" si="1"/>
        <v>0</v>
      </c>
      <c r="I43" s="190">
        <f t="shared" si="7"/>
        <v>267</v>
      </c>
      <c r="J43" s="190">
        <f t="shared" si="8"/>
        <v>0</v>
      </c>
      <c r="K43" s="190">
        <f t="shared" si="2"/>
        <v>0</v>
      </c>
    </row>
    <row r="44" spans="1:11" ht="12.75" customHeight="1">
      <c r="A44" s="54">
        <v>36</v>
      </c>
      <c r="B44" s="116" t="s">
        <v>24</v>
      </c>
      <c r="C44" s="190">
        <v>0</v>
      </c>
      <c r="D44" s="116">
        <v>0</v>
      </c>
      <c r="E44" s="190">
        <v>0</v>
      </c>
      <c r="F44" s="190">
        <v>37</v>
      </c>
      <c r="G44" s="116">
        <v>1</v>
      </c>
      <c r="H44" s="190">
        <f t="shared" si="1"/>
        <v>2.7027027027027026</v>
      </c>
      <c r="I44" s="190">
        <f t="shared" si="7"/>
        <v>37</v>
      </c>
      <c r="J44" s="190">
        <f t="shared" si="8"/>
        <v>1</v>
      </c>
      <c r="K44" s="190">
        <f t="shared" si="2"/>
        <v>2.7027027027027026</v>
      </c>
    </row>
    <row r="45" spans="1:13" ht="12.75" customHeight="1">
      <c r="A45" s="54">
        <v>37</v>
      </c>
      <c r="B45" s="116" t="s">
        <v>223</v>
      </c>
      <c r="C45" s="190">
        <v>0</v>
      </c>
      <c r="D45" s="116">
        <v>0</v>
      </c>
      <c r="E45" s="190">
        <v>0</v>
      </c>
      <c r="F45" s="190">
        <v>0</v>
      </c>
      <c r="G45" s="116">
        <v>0</v>
      </c>
      <c r="H45" s="190">
        <v>0</v>
      </c>
      <c r="I45" s="190">
        <f t="shared" si="7"/>
        <v>0</v>
      </c>
      <c r="J45" s="190">
        <f t="shared" si="8"/>
        <v>0</v>
      </c>
      <c r="K45" s="190">
        <v>0</v>
      </c>
      <c r="M45" s="335"/>
    </row>
    <row r="46" spans="1:13" ht="12.75" customHeight="1">
      <c r="A46" s="54">
        <v>38</v>
      </c>
      <c r="B46" s="116" t="s">
        <v>364</v>
      </c>
      <c r="C46" s="190">
        <v>0</v>
      </c>
      <c r="D46" s="116">
        <v>4</v>
      </c>
      <c r="E46" s="190">
        <v>0</v>
      </c>
      <c r="F46" s="190">
        <v>0</v>
      </c>
      <c r="G46" s="116">
        <v>0</v>
      </c>
      <c r="H46" s="190">
        <v>0</v>
      </c>
      <c r="I46" s="190">
        <f>C46+F46</f>
        <v>0</v>
      </c>
      <c r="J46" s="190">
        <f>D46+G46</f>
        <v>4</v>
      </c>
      <c r="K46" s="190">
        <v>0</v>
      </c>
      <c r="M46" s="335"/>
    </row>
    <row r="47" spans="1:13" ht="12.75" customHeight="1">
      <c r="A47" s="54">
        <v>39</v>
      </c>
      <c r="B47" s="116" t="s">
        <v>366</v>
      </c>
      <c r="C47" s="190">
        <v>5181</v>
      </c>
      <c r="D47" s="116">
        <v>2119</v>
      </c>
      <c r="E47" s="190">
        <f t="shared" si="0"/>
        <v>40.899440262497585</v>
      </c>
      <c r="F47" s="190">
        <v>4607</v>
      </c>
      <c r="G47" s="116">
        <v>914</v>
      </c>
      <c r="H47" s="190">
        <f t="shared" si="1"/>
        <v>19.83937486433688</v>
      </c>
      <c r="I47" s="190">
        <f t="shared" si="7"/>
        <v>9788</v>
      </c>
      <c r="J47" s="190">
        <f t="shared" si="8"/>
        <v>3033</v>
      </c>
      <c r="K47" s="190">
        <f t="shared" si="2"/>
        <v>30.986922762566408</v>
      </c>
      <c r="M47" s="335"/>
    </row>
    <row r="48" spans="1:11" ht="12.75">
      <c r="A48" s="305"/>
      <c r="B48" s="491" t="s">
        <v>401</v>
      </c>
      <c r="C48" s="306">
        <v>0</v>
      </c>
      <c r="D48" s="306">
        <v>0</v>
      </c>
      <c r="E48" s="306">
        <v>0</v>
      </c>
      <c r="F48" s="306">
        <v>900</v>
      </c>
      <c r="G48" s="306">
        <v>0</v>
      </c>
      <c r="H48" s="306">
        <v>0</v>
      </c>
      <c r="I48" s="190">
        <f t="shared" si="7"/>
        <v>900</v>
      </c>
      <c r="J48" s="190">
        <f t="shared" si="8"/>
        <v>0</v>
      </c>
      <c r="K48" s="190">
        <f t="shared" si="2"/>
        <v>0</v>
      </c>
    </row>
    <row r="49" spans="1:13" s="334" customFormat="1" ht="12.75" customHeight="1">
      <c r="A49" s="325"/>
      <c r="B49" s="326" t="s">
        <v>225</v>
      </c>
      <c r="C49" s="197">
        <f>SUM(C35:C48)</f>
        <v>14873</v>
      </c>
      <c r="D49" s="197">
        <f>SUM(D35:D48)</f>
        <v>4127</v>
      </c>
      <c r="E49" s="197">
        <f>(D49*100)/C49</f>
        <v>27.7482686747798</v>
      </c>
      <c r="F49" s="197">
        <f>SUM(F35:F48)</f>
        <v>20971</v>
      </c>
      <c r="G49" s="197">
        <f>SUM(G35:G48)</f>
        <v>38873</v>
      </c>
      <c r="H49" s="197">
        <f t="shared" si="1"/>
        <v>185.36550474464738</v>
      </c>
      <c r="I49" s="197">
        <f>SUM(I35:I48)</f>
        <v>35844</v>
      </c>
      <c r="J49" s="197">
        <f>SUM(J35:J48)</f>
        <v>43000</v>
      </c>
      <c r="K49" s="197">
        <f>(J49*100)/I49</f>
        <v>119.9642896998103</v>
      </c>
      <c r="M49" s="296"/>
    </row>
    <row r="50" spans="1:11" s="334" customFormat="1" ht="12.75" customHeight="1">
      <c r="A50" s="325"/>
      <c r="B50" s="328" t="s">
        <v>123</v>
      </c>
      <c r="C50" s="197">
        <f>C26+C34+C49</f>
        <v>427940</v>
      </c>
      <c r="D50" s="326">
        <f>D26+D34+D49</f>
        <v>469658</v>
      </c>
      <c r="E50" s="197">
        <f>(D50*100)/C50</f>
        <v>109.74856288264711</v>
      </c>
      <c r="F50" s="197">
        <f>F26+F34+F49</f>
        <v>213910</v>
      </c>
      <c r="G50" s="326">
        <f>G26+G34+G49</f>
        <v>172566</v>
      </c>
      <c r="H50" s="197">
        <f t="shared" si="1"/>
        <v>80.67224533682389</v>
      </c>
      <c r="I50" s="197">
        <f>I26+I34+I49</f>
        <v>641850</v>
      </c>
      <c r="J50" s="197">
        <f>J26+J34+J49</f>
        <v>642224</v>
      </c>
      <c r="K50" s="197">
        <f>(J50*100)/I50</f>
        <v>100.05826906598115</v>
      </c>
    </row>
    <row r="51" spans="1:11" ht="18" customHeight="1">
      <c r="A51" s="119"/>
      <c r="B51" s="120"/>
      <c r="C51" s="250"/>
      <c r="D51" s="277"/>
      <c r="E51" s="250"/>
      <c r="F51" s="250"/>
      <c r="G51" s="277"/>
      <c r="H51" s="250"/>
      <c r="I51" s="250"/>
      <c r="J51" s="250"/>
      <c r="K51" s="250"/>
    </row>
    <row r="52" spans="1:11" ht="18" customHeight="1">
      <c r="A52" s="292"/>
      <c r="B52" s="292"/>
      <c r="C52" s="259"/>
      <c r="D52" s="294"/>
      <c r="E52" s="259"/>
      <c r="F52" s="259"/>
      <c r="G52" s="294"/>
      <c r="H52" s="259"/>
      <c r="I52" s="99"/>
      <c r="J52" s="99"/>
      <c r="K52" s="99"/>
    </row>
    <row r="53" spans="3:11" ht="18" customHeight="1">
      <c r="C53" s="99"/>
      <c r="D53" s="294"/>
      <c r="E53" s="259"/>
      <c r="F53" s="259"/>
      <c r="G53" s="294"/>
      <c r="H53" s="99"/>
      <c r="I53" s="99"/>
      <c r="J53" s="99"/>
      <c r="K53" s="99"/>
    </row>
    <row r="54" spans="1:11" ht="12.75">
      <c r="A54" s="330"/>
      <c r="B54" s="330"/>
      <c r="C54" s="633" t="s">
        <v>215</v>
      </c>
      <c r="D54" s="634"/>
      <c r="E54" s="635"/>
      <c r="F54" s="633" t="s">
        <v>216</v>
      </c>
      <c r="G54" s="634"/>
      <c r="H54" s="635"/>
      <c r="I54" s="633" t="s">
        <v>217</v>
      </c>
      <c r="J54" s="634"/>
      <c r="K54" s="635"/>
    </row>
    <row r="55" spans="1:11" ht="12.75">
      <c r="A55" s="331" t="s">
        <v>4</v>
      </c>
      <c r="B55" s="331" t="s">
        <v>5</v>
      </c>
      <c r="C55" s="257" t="s">
        <v>70</v>
      </c>
      <c r="D55" s="282" t="s">
        <v>71</v>
      </c>
      <c r="E55" s="257" t="s">
        <v>72</v>
      </c>
      <c r="F55" s="257" t="s">
        <v>70</v>
      </c>
      <c r="G55" s="282" t="s">
        <v>71</v>
      </c>
      <c r="H55" s="257" t="s">
        <v>72</v>
      </c>
      <c r="I55" s="257" t="s">
        <v>70</v>
      </c>
      <c r="J55" s="257" t="s">
        <v>71</v>
      </c>
      <c r="K55" s="257" t="s">
        <v>72</v>
      </c>
    </row>
    <row r="56" spans="1:11" ht="12.75">
      <c r="A56" s="332" t="s">
        <v>6</v>
      </c>
      <c r="B56" s="333"/>
      <c r="C56" s="258" t="s">
        <v>73</v>
      </c>
      <c r="D56" s="283" t="s">
        <v>74</v>
      </c>
      <c r="E56" s="258" t="s">
        <v>74</v>
      </c>
      <c r="F56" s="258" t="s">
        <v>73</v>
      </c>
      <c r="G56" s="283" t="s">
        <v>74</v>
      </c>
      <c r="H56" s="258" t="s">
        <v>74</v>
      </c>
      <c r="I56" s="258" t="s">
        <v>73</v>
      </c>
      <c r="J56" s="258" t="s">
        <v>74</v>
      </c>
      <c r="K56" s="258" t="s">
        <v>74</v>
      </c>
    </row>
    <row r="57" spans="1:12" s="305" customFormat="1" ht="15.75" customHeight="1">
      <c r="A57" s="54">
        <v>40</v>
      </c>
      <c r="B57" s="57" t="s">
        <v>78</v>
      </c>
      <c r="C57" s="190">
        <v>8325</v>
      </c>
      <c r="D57" s="116">
        <v>8062</v>
      </c>
      <c r="E57" s="190">
        <f aca="true" t="shared" si="9" ref="E57:E64">(D57*100)/C57</f>
        <v>96.84084084084084</v>
      </c>
      <c r="F57" s="190">
        <v>5140</v>
      </c>
      <c r="G57" s="116">
        <v>240</v>
      </c>
      <c r="H57" s="190">
        <f aca="true" t="shared" si="10" ref="H57:H64">(G57*100)/F57</f>
        <v>4.669260700389105</v>
      </c>
      <c r="I57" s="190">
        <f aca="true" t="shared" si="11" ref="I57:I64">C57+F57</f>
        <v>13465</v>
      </c>
      <c r="J57" s="190">
        <f aca="true" t="shared" si="12" ref="J57:J64">D57+G57</f>
        <v>8302</v>
      </c>
      <c r="K57" s="190">
        <f aca="true" t="shared" si="13" ref="K57:K64">(J57*100)/I57</f>
        <v>61.65614556256963</v>
      </c>
      <c r="L57" s="336"/>
    </row>
    <row r="58" spans="1:12" s="305" customFormat="1" ht="15.75" customHeight="1">
      <c r="A58" s="54">
        <v>41</v>
      </c>
      <c r="B58" s="57" t="s">
        <v>278</v>
      </c>
      <c r="C58" s="190">
        <v>36812</v>
      </c>
      <c r="D58" s="116">
        <v>26929</v>
      </c>
      <c r="E58" s="190">
        <f t="shared" si="9"/>
        <v>73.15277626860806</v>
      </c>
      <c r="F58" s="190">
        <v>8027</v>
      </c>
      <c r="G58" s="116">
        <v>2887</v>
      </c>
      <c r="H58" s="190">
        <f t="shared" si="10"/>
        <v>35.96611436402143</v>
      </c>
      <c r="I58" s="190">
        <f t="shared" si="11"/>
        <v>44839</v>
      </c>
      <c r="J58" s="190">
        <f t="shared" si="12"/>
        <v>29816</v>
      </c>
      <c r="K58" s="190">
        <f t="shared" si="13"/>
        <v>66.4956845603158</v>
      </c>
      <c r="L58" s="336"/>
    </row>
    <row r="59" spans="1:12" s="305" customFormat="1" ht="15.75" customHeight="1">
      <c r="A59" s="54">
        <v>42</v>
      </c>
      <c r="B59" s="57" t="s">
        <v>30</v>
      </c>
      <c r="C59" s="190">
        <v>1872</v>
      </c>
      <c r="D59" s="116">
        <v>1437</v>
      </c>
      <c r="E59" s="190">
        <f t="shared" si="9"/>
        <v>76.76282051282051</v>
      </c>
      <c r="F59" s="190">
        <v>1460</v>
      </c>
      <c r="G59" s="116">
        <v>43</v>
      </c>
      <c r="H59" s="190">
        <f t="shared" si="10"/>
        <v>2.9452054794520546</v>
      </c>
      <c r="I59" s="190">
        <f t="shared" si="11"/>
        <v>3332</v>
      </c>
      <c r="J59" s="190">
        <f t="shared" si="12"/>
        <v>1480</v>
      </c>
      <c r="K59" s="190">
        <f t="shared" si="13"/>
        <v>44.41776710684274</v>
      </c>
      <c r="L59" s="336"/>
    </row>
    <row r="60" spans="1:12" s="305" customFormat="1" ht="15.75" customHeight="1">
      <c r="A60" s="54">
        <v>43</v>
      </c>
      <c r="B60" s="57" t="s">
        <v>234</v>
      </c>
      <c r="C60" s="190">
        <v>46636</v>
      </c>
      <c r="D60" s="116">
        <v>57883</v>
      </c>
      <c r="E60" s="190">
        <f t="shared" si="9"/>
        <v>124.1165623123767</v>
      </c>
      <c r="F60" s="190">
        <v>9139</v>
      </c>
      <c r="G60" s="116">
        <v>2400</v>
      </c>
      <c r="H60" s="190">
        <f t="shared" si="10"/>
        <v>26.26107889265784</v>
      </c>
      <c r="I60" s="190">
        <f t="shared" si="11"/>
        <v>55775</v>
      </c>
      <c r="J60" s="190">
        <f t="shared" si="12"/>
        <v>60283</v>
      </c>
      <c r="K60" s="190">
        <f t="shared" si="13"/>
        <v>108.08247422680412</v>
      </c>
      <c r="L60" s="336"/>
    </row>
    <row r="61" spans="1:12" s="305" customFormat="1" ht="15.75" customHeight="1">
      <c r="A61" s="54">
        <v>44</v>
      </c>
      <c r="B61" s="57" t="s">
        <v>29</v>
      </c>
      <c r="C61" s="190">
        <v>4302</v>
      </c>
      <c r="D61" s="116">
        <v>816</v>
      </c>
      <c r="E61" s="190">
        <f t="shared" si="9"/>
        <v>18.96792189679219</v>
      </c>
      <c r="F61" s="190">
        <v>1843</v>
      </c>
      <c r="G61" s="116">
        <v>392</v>
      </c>
      <c r="H61" s="190">
        <f t="shared" si="10"/>
        <v>21.26966901790559</v>
      </c>
      <c r="I61" s="190">
        <f t="shared" si="11"/>
        <v>6145</v>
      </c>
      <c r="J61" s="190">
        <f t="shared" si="12"/>
        <v>1208</v>
      </c>
      <c r="K61" s="190">
        <f t="shared" si="13"/>
        <v>19.65825874694874</v>
      </c>
      <c r="L61" s="336"/>
    </row>
    <row r="62" spans="1:12" s="305" customFormat="1" ht="15.75" customHeight="1">
      <c r="A62" s="54">
        <v>45</v>
      </c>
      <c r="B62" s="57" t="s">
        <v>391</v>
      </c>
      <c r="C62" s="190">
        <v>48857</v>
      </c>
      <c r="D62" s="116">
        <v>40399</v>
      </c>
      <c r="E62" s="190">
        <f t="shared" si="9"/>
        <v>82.68825347442537</v>
      </c>
      <c r="F62" s="190">
        <v>15331</v>
      </c>
      <c r="G62" s="116">
        <v>2888</v>
      </c>
      <c r="H62" s="190">
        <f t="shared" si="10"/>
        <v>18.837649207488095</v>
      </c>
      <c r="I62" s="190">
        <f t="shared" si="11"/>
        <v>64188</v>
      </c>
      <c r="J62" s="190">
        <f t="shared" si="12"/>
        <v>43287</v>
      </c>
      <c r="K62" s="190">
        <f t="shared" si="13"/>
        <v>67.43783884838288</v>
      </c>
      <c r="L62" s="336"/>
    </row>
    <row r="63" spans="1:12" s="305" customFormat="1" ht="15.75" customHeight="1">
      <c r="A63" s="54">
        <v>46</v>
      </c>
      <c r="B63" s="57" t="s">
        <v>25</v>
      </c>
      <c r="C63" s="190">
        <v>5175</v>
      </c>
      <c r="D63" s="116">
        <v>3572</v>
      </c>
      <c r="E63" s="190">
        <f t="shared" si="9"/>
        <v>69.02415458937197</v>
      </c>
      <c r="F63" s="190">
        <v>136</v>
      </c>
      <c r="G63" s="116">
        <v>16</v>
      </c>
      <c r="H63" s="190">
        <f t="shared" si="10"/>
        <v>11.764705882352942</v>
      </c>
      <c r="I63" s="190">
        <f t="shared" si="11"/>
        <v>5311</v>
      </c>
      <c r="J63" s="190">
        <f t="shared" si="12"/>
        <v>3588</v>
      </c>
      <c r="K63" s="190">
        <f t="shared" si="13"/>
        <v>67.55789870080964</v>
      </c>
      <c r="L63" s="336"/>
    </row>
    <row r="64" spans="1:12" s="305" customFormat="1" ht="15.75" customHeight="1">
      <c r="A64" s="54">
        <v>47</v>
      </c>
      <c r="B64" s="57" t="s">
        <v>28</v>
      </c>
      <c r="C64" s="190">
        <v>3805</v>
      </c>
      <c r="D64" s="116">
        <v>5895</v>
      </c>
      <c r="E64" s="190">
        <f t="shared" si="9"/>
        <v>154.92772667542707</v>
      </c>
      <c r="F64" s="190">
        <v>1165</v>
      </c>
      <c r="G64" s="116">
        <v>185</v>
      </c>
      <c r="H64" s="190">
        <f t="shared" si="10"/>
        <v>15.879828326180258</v>
      </c>
      <c r="I64" s="190">
        <f t="shared" si="11"/>
        <v>4970</v>
      </c>
      <c r="J64" s="190">
        <f t="shared" si="12"/>
        <v>6080</v>
      </c>
      <c r="K64" s="190">
        <f t="shared" si="13"/>
        <v>122.33400402414487</v>
      </c>
      <c r="L64" s="336"/>
    </row>
    <row r="65" spans="1:12" s="338" customFormat="1" ht="15.75" customHeight="1">
      <c r="A65" s="54"/>
      <c r="B65" s="328" t="s">
        <v>123</v>
      </c>
      <c r="C65" s="197">
        <f>SUM(C57:C64)</f>
        <v>155784</v>
      </c>
      <c r="D65" s="326">
        <f>SUM(D57:D64)</f>
        <v>144993</v>
      </c>
      <c r="E65" s="197">
        <f>(D65/C65)*100</f>
        <v>93.07310121706979</v>
      </c>
      <c r="F65" s="197">
        <f>SUM(F57:F64)</f>
        <v>42241</v>
      </c>
      <c r="G65" s="326">
        <f>SUM(G57:G64)</f>
        <v>9051</v>
      </c>
      <c r="H65" s="197">
        <f>(G65/F65)*100</f>
        <v>21.42704954901636</v>
      </c>
      <c r="I65" s="197">
        <f>SUM(I57:I64)</f>
        <v>198025</v>
      </c>
      <c r="J65" s="197">
        <f>SUM(J57:J64)</f>
        <v>154044</v>
      </c>
      <c r="K65" s="197">
        <f>(J65/I65)*100</f>
        <v>77.7901780078273</v>
      </c>
      <c r="L65" s="337"/>
    </row>
    <row r="66" spans="1:12" s="305" customFormat="1" ht="15.75" customHeight="1">
      <c r="A66" s="54"/>
      <c r="B66" s="116"/>
      <c r="C66" s="190"/>
      <c r="D66" s="116"/>
      <c r="E66" s="190"/>
      <c r="F66" s="190"/>
      <c r="G66" s="116"/>
      <c r="H66" s="190"/>
      <c r="I66" s="190"/>
      <c r="J66" s="190"/>
      <c r="K66" s="190"/>
      <c r="L66" s="336"/>
    </row>
    <row r="67" spans="1:12" s="305" customFormat="1" ht="15.75" customHeight="1">
      <c r="A67" s="54">
        <v>48</v>
      </c>
      <c r="B67" s="116" t="s">
        <v>34</v>
      </c>
      <c r="C67" s="190">
        <v>410013</v>
      </c>
      <c r="D67" s="116">
        <v>349620</v>
      </c>
      <c r="E67" s="190">
        <f>(D67*100)/C67</f>
        <v>85.2704670339721</v>
      </c>
      <c r="F67" s="190">
        <v>23390</v>
      </c>
      <c r="G67" s="116">
        <v>1117</v>
      </c>
      <c r="H67" s="190">
        <f>(G67*100)/F67</f>
        <v>4.775545104745618</v>
      </c>
      <c r="I67" s="190">
        <f>C67+F67</f>
        <v>433403</v>
      </c>
      <c r="J67" s="190">
        <f>D67+G67</f>
        <v>350737</v>
      </c>
      <c r="K67" s="190">
        <f>(J67*100)/I67</f>
        <v>80.92629723375242</v>
      </c>
      <c r="L67" s="336"/>
    </row>
    <row r="68" spans="1:12" s="305" customFormat="1" ht="15.75" customHeight="1">
      <c r="A68" s="54">
        <v>49</v>
      </c>
      <c r="B68" s="116" t="s">
        <v>130</v>
      </c>
      <c r="C68" s="190">
        <v>42</v>
      </c>
      <c r="D68" s="116">
        <v>0</v>
      </c>
      <c r="E68" s="190">
        <f>(D68*100)/C68</f>
        <v>0</v>
      </c>
      <c r="F68" s="190">
        <v>24413</v>
      </c>
      <c r="G68" s="116">
        <v>2687</v>
      </c>
      <c r="H68" s="190">
        <f>(G68*100)/F68</f>
        <v>11.006430999877114</v>
      </c>
      <c r="I68" s="190">
        <f>C68+F68</f>
        <v>24455</v>
      </c>
      <c r="J68" s="190">
        <f>D68+G68</f>
        <v>2687</v>
      </c>
      <c r="K68" s="190">
        <f>(J68*100)/I68</f>
        <v>10.987528112860355</v>
      </c>
      <c r="L68" s="336"/>
    </row>
    <row r="69" spans="1:12" s="338" customFormat="1" ht="15.75" customHeight="1">
      <c r="A69" s="325"/>
      <c r="B69" s="328" t="s">
        <v>123</v>
      </c>
      <c r="C69" s="197">
        <f>SUM(C67:C68)</f>
        <v>410055</v>
      </c>
      <c r="D69" s="326">
        <f>SUM(D67:D68)</f>
        <v>349620</v>
      </c>
      <c r="E69" s="197">
        <f>(D69/C69)*100</f>
        <v>85.26173318213411</v>
      </c>
      <c r="F69" s="197">
        <f>SUM(F67:F68)</f>
        <v>47803</v>
      </c>
      <c r="G69" s="326">
        <f>SUM(G67:G68)</f>
        <v>3804</v>
      </c>
      <c r="H69" s="197">
        <f>(G69/F69)*100</f>
        <v>7.9576595611154115</v>
      </c>
      <c r="I69" s="197">
        <f>SUM(I67:I68)</f>
        <v>457858</v>
      </c>
      <c r="J69" s="197">
        <f>SUM(J67:J68)</f>
        <v>353424</v>
      </c>
      <c r="K69" s="197">
        <f>(J69/I69)*100</f>
        <v>77.19074472871502</v>
      </c>
      <c r="L69" s="337"/>
    </row>
    <row r="70" spans="1:12" s="338" customFormat="1" ht="15.75" customHeight="1">
      <c r="A70" s="325"/>
      <c r="B70" s="328" t="s">
        <v>35</v>
      </c>
      <c r="C70" s="197">
        <f>+C50+C65+C69</f>
        <v>993779</v>
      </c>
      <c r="D70" s="326">
        <f>+D50+D65+D69</f>
        <v>964271</v>
      </c>
      <c r="E70" s="197">
        <f>(D70/C70)*100</f>
        <v>97.03072815988263</v>
      </c>
      <c r="F70" s="197">
        <f>+F50+F65+F69</f>
        <v>303954</v>
      </c>
      <c r="G70" s="326">
        <f>+G50+G65+G69</f>
        <v>185421</v>
      </c>
      <c r="H70" s="197">
        <f>(G70/F70)*100</f>
        <v>61.00298071418702</v>
      </c>
      <c r="I70" s="197">
        <f>+I50+I65+I69</f>
        <v>1297733</v>
      </c>
      <c r="J70" s="197">
        <f>+J50+J65+J69</f>
        <v>1149692</v>
      </c>
      <c r="K70" s="197">
        <f>(J70/I70)*100</f>
        <v>88.59233756096208</v>
      </c>
      <c r="L70" s="337"/>
    </row>
    <row r="71" ht="12.75">
      <c r="B71" s="127"/>
    </row>
    <row r="72" ht="12.75">
      <c r="B72" s="127"/>
    </row>
    <row r="73" ht="12.75">
      <c r="B73" s="127"/>
    </row>
    <row r="74" spans="2:5" ht="12.75">
      <c r="B74" s="127"/>
      <c r="E74" s="126">
        <v>8</v>
      </c>
    </row>
    <row r="75" ht="12.75">
      <c r="B75" s="127"/>
    </row>
    <row r="76" ht="12.75">
      <c r="B76" s="127"/>
    </row>
    <row r="77" ht="12.75">
      <c r="B77" s="127"/>
    </row>
    <row r="78" ht="12.75">
      <c r="B78" s="127"/>
    </row>
    <row r="79" ht="12.75">
      <c r="B79" s="127"/>
    </row>
    <row r="80" ht="12.75">
      <c r="B80" s="127"/>
    </row>
    <row r="81" ht="12.75">
      <c r="B81" s="127"/>
    </row>
    <row r="82" ht="12.75">
      <c r="B82" s="127"/>
    </row>
    <row r="83" ht="12.75">
      <c r="B83" s="127"/>
    </row>
    <row r="84" ht="12.75">
      <c r="B84" s="127"/>
    </row>
    <row r="85" ht="12.75">
      <c r="B85" s="127"/>
    </row>
    <row r="86" ht="12.75">
      <c r="B86" s="127"/>
    </row>
    <row r="87" ht="12.75">
      <c r="B87" s="127"/>
    </row>
    <row r="88" ht="12.75">
      <c r="B88" s="127"/>
    </row>
    <row r="89" ht="12.75">
      <c r="B89" s="127"/>
    </row>
    <row r="90" ht="12.75">
      <c r="B90" s="127"/>
    </row>
    <row r="91" ht="12.75">
      <c r="B91" s="127"/>
    </row>
    <row r="92" ht="12.75">
      <c r="B92" s="127"/>
    </row>
    <row r="93" ht="12.75">
      <c r="B93" s="127"/>
    </row>
    <row r="94" ht="12.75">
      <c r="B94" s="127"/>
    </row>
    <row r="95" ht="12.75">
      <c r="B95" s="127"/>
    </row>
    <row r="96" ht="12.75">
      <c r="B96" s="127"/>
    </row>
    <row r="97" ht="12.75">
      <c r="B97" s="127"/>
    </row>
    <row r="98" ht="12.75">
      <c r="B98" s="127"/>
    </row>
    <row r="99" ht="12.75">
      <c r="B99" s="127"/>
    </row>
    <row r="100" ht="12.75">
      <c r="B100" s="127"/>
    </row>
    <row r="101" ht="12.75">
      <c r="B101" s="127"/>
    </row>
  </sheetData>
  <sheetProtection/>
  <mergeCells count="6">
    <mergeCell ref="C4:E4"/>
    <mergeCell ref="F4:H4"/>
    <mergeCell ref="I4:K4"/>
    <mergeCell ref="C54:E54"/>
    <mergeCell ref="F54:H54"/>
    <mergeCell ref="I54:K54"/>
  </mergeCells>
  <printOptions gridLines="1" horizontalCentered="1"/>
  <pageMargins left="0.75" right="0.75" top="0.35" bottom="0.66" header="0.33" footer="0.5"/>
  <pageSetup blackAndWhite="1" horizontalDpi="300" verticalDpi="300" orientation="landscape" paperSize="9" scale="77" r:id="rId2"/>
  <rowBreaks count="1" manualBreakCount="1">
    <brk id="5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1"/>
  <sheetViews>
    <sheetView zoomScale="120" zoomScaleNormal="120" zoomScalePageLayoutView="0" workbookViewId="0" topLeftCell="A1">
      <selection activeCell="L12" sqref="L12"/>
    </sheetView>
  </sheetViews>
  <sheetFormatPr defaultColWidth="9.140625" defaultRowHeight="12.75"/>
  <cols>
    <col min="1" max="1" width="3.7109375" style="103" customWidth="1"/>
    <col min="2" max="2" width="22.140625" style="103" bestFit="1" customWidth="1"/>
    <col min="3" max="3" width="10.8515625" style="22" customWidth="1"/>
    <col min="4" max="4" width="12.140625" style="22" customWidth="1"/>
    <col min="5" max="5" width="9.28125" style="22" customWidth="1"/>
    <col min="6" max="6" width="11.00390625" style="22" customWidth="1"/>
    <col min="7" max="7" width="10.28125" style="22" customWidth="1"/>
    <col min="8" max="8" width="9.28125" style="22" customWidth="1"/>
    <col min="9" max="10" width="11.7109375" style="22" customWidth="1"/>
    <col min="11" max="11" width="9.28125" style="99" customWidth="1"/>
    <col min="12" max="12" width="12.00390625" style="99" customWidth="1"/>
    <col min="13" max="13" width="11.00390625" style="99" customWidth="1"/>
    <col min="14" max="14" width="9.8515625" style="99" customWidth="1"/>
    <col min="15" max="16384" width="9.140625" style="103" customWidth="1"/>
  </cols>
  <sheetData>
    <row r="1" spans="1:14" ht="15">
      <c r="A1" s="105"/>
      <c r="B1" s="105"/>
      <c r="C1" s="259"/>
      <c r="D1" s="259"/>
      <c r="E1" s="259"/>
      <c r="F1" s="435"/>
      <c r="G1" s="21"/>
      <c r="H1" s="259"/>
      <c r="I1" s="99"/>
      <c r="N1" s="192"/>
    </row>
    <row r="2" spans="3:9" ht="15">
      <c r="C2" s="99"/>
      <c r="D2" s="259"/>
      <c r="E2" s="259"/>
      <c r="F2" s="259"/>
      <c r="G2" s="21"/>
      <c r="H2" s="99"/>
      <c r="I2" s="267"/>
    </row>
    <row r="3" spans="3:13" ht="15">
      <c r="C3" s="99"/>
      <c r="D3" s="259"/>
      <c r="E3" s="259"/>
      <c r="F3" s="259"/>
      <c r="G3" s="21"/>
      <c r="H3" s="99"/>
      <c r="I3" s="99"/>
      <c r="M3" s="192"/>
    </row>
    <row r="4" spans="1:14" ht="14.25">
      <c r="A4" s="460"/>
      <c r="B4" s="460"/>
      <c r="C4" s="613" t="s">
        <v>194</v>
      </c>
      <c r="D4" s="613"/>
      <c r="E4" s="613"/>
      <c r="F4" s="436" t="s">
        <v>368</v>
      </c>
      <c r="G4" s="461" t="s">
        <v>375</v>
      </c>
      <c r="H4" s="438"/>
      <c r="I4" s="436" t="s">
        <v>282</v>
      </c>
      <c r="J4" s="461"/>
      <c r="K4" s="439"/>
      <c r="L4" s="436" t="s">
        <v>283</v>
      </c>
      <c r="M4" s="437"/>
      <c r="N4" s="438"/>
    </row>
    <row r="5" spans="1:14" ht="12.75">
      <c r="A5" s="462" t="s">
        <v>4</v>
      </c>
      <c r="B5" s="462" t="s">
        <v>5</v>
      </c>
      <c r="C5" s="257" t="s">
        <v>70</v>
      </c>
      <c r="D5" s="257" t="s">
        <v>71</v>
      </c>
      <c r="E5" s="257" t="s">
        <v>72</v>
      </c>
      <c r="F5" s="257" t="s">
        <v>70</v>
      </c>
      <c r="G5" s="136" t="s">
        <v>71</v>
      </c>
      <c r="H5" s="257" t="s">
        <v>72</v>
      </c>
      <c r="I5" s="257" t="s">
        <v>70</v>
      </c>
      <c r="J5" s="136" t="s">
        <v>71</v>
      </c>
      <c r="K5" s="257" t="s">
        <v>72</v>
      </c>
      <c r="L5" s="257" t="s">
        <v>70</v>
      </c>
      <c r="M5" s="257" t="s">
        <v>71</v>
      </c>
      <c r="N5" s="257" t="s">
        <v>72</v>
      </c>
    </row>
    <row r="6" spans="1:14" ht="12.75">
      <c r="A6" s="186" t="s">
        <v>6</v>
      </c>
      <c r="B6" s="463"/>
      <c r="C6" s="258" t="s">
        <v>73</v>
      </c>
      <c r="D6" s="258" t="s">
        <v>74</v>
      </c>
      <c r="E6" s="258" t="s">
        <v>74</v>
      </c>
      <c r="F6" s="258" t="s">
        <v>73</v>
      </c>
      <c r="G6" s="137" t="s">
        <v>74</v>
      </c>
      <c r="H6" s="258" t="s">
        <v>74</v>
      </c>
      <c r="I6" s="258" t="s">
        <v>73</v>
      </c>
      <c r="J6" s="137" t="s">
        <v>74</v>
      </c>
      <c r="K6" s="258" t="s">
        <v>74</v>
      </c>
      <c r="L6" s="258" t="s">
        <v>73</v>
      </c>
      <c r="M6" s="258" t="s">
        <v>74</v>
      </c>
      <c r="N6" s="258" t="s">
        <v>74</v>
      </c>
    </row>
    <row r="7" spans="1:14" ht="13.5" customHeight="1">
      <c r="A7" s="54">
        <v>1</v>
      </c>
      <c r="B7" s="57" t="s">
        <v>7</v>
      </c>
      <c r="C7" s="190">
        <f>'TABLE-8A'!I7</f>
        <v>21607</v>
      </c>
      <c r="D7" s="190">
        <f>'TABLE-8A'!J7</f>
        <v>15420</v>
      </c>
      <c r="E7" s="190">
        <f>'TABLE-8A'!K7</f>
        <v>71.36576109594112</v>
      </c>
      <c r="F7" s="190">
        <v>7892</v>
      </c>
      <c r="G7" s="57">
        <v>4359</v>
      </c>
      <c r="H7" s="190">
        <f aca="true" t="shared" si="0" ref="H7:H50">(G7*100)/F7</f>
        <v>55.23314749113026</v>
      </c>
      <c r="I7" s="190">
        <v>10907</v>
      </c>
      <c r="J7" s="57">
        <v>4857</v>
      </c>
      <c r="K7" s="190">
        <f aca="true" t="shared" si="1" ref="K7:K50">(J7*100)/I7</f>
        <v>44.53103511506372</v>
      </c>
      <c r="L7" s="190">
        <f>C7+F7+I7</f>
        <v>40406</v>
      </c>
      <c r="M7" s="190">
        <f>D7+G7+J7</f>
        <v>24636</v>
      </c>
      <c r="N7" s="190">
        <f>(M7*100)/L7</f>
        <v>60.97114289956937</v>
      </c>
    </row>
    <row r="8" spans="1:14" ht="13.5" customHeight="1">
      <c r="A8" s="54">
        <v>2</v>
      </c>
      <c r="B8" s="57" t="s">
        <v>8</v>
      </c>
      <c r="C8" s="190">
        <f>'TABLE-8A'!I8</f>
        <v>43</v>
      </c>
      <c r="D8" s="190">
        <f>'TABLE-8A'!J8</f>
        <v>0</v>
      </c>
      <c r="E8" s="190">
        <f>'TABLE-8A'!K8</f>
        <v>0</v>
      </c>
      <c r="F8" s="190">
        <v>731</v>
      </c>
      <c r="G8" s="57">
        <v>3</v>
      </c>
      <c r="H8" s="588">
        <f t="shared" si="0"/>
        <v>0.4103967168262654</v>
      </c>
      <c r="I8" s="190">
        <v>1091</v>
      </c>
      <c r="J8" s="57">
        <v>28</v>
      </c>
      <c r="K8" s="190">
        <f t="shared" si="1"/>
        <v>2.5664527956003664</v>
      </c>
      <c r="L8" s="190">
        <f aca="true" t="shared" si="2" ref="L8:L47">C8+F8+I8</f>
        <v>1865</v>
      </c>
      <c r="M8" s="190">
        <f aca="true" t="shared" si="3" ref="M8:M25">D8+G8+J8</f>
        <v>31</v>
      </c>
      <c r="N8" s="190">
        <f aca="true" t="shared" si="4" ref="N8:N50">(M8*100)/L8</f>
        <v>1.6621983914209115</v>
      </c>
    </row>
    <row r="9" spans="1:14" ht="13.5" customHeight="1">
      <c r="A9" s="54">
        <v>3</v>
      </c>
      <c r="B9" s="57" t="s">
        <v>9</v>
      </c>
      <c r="C9" s="190">
        <f>'TABLE-8A'!I9</f>
        <v>12344</v>
      </c>
      <c r="D9" s="190">
        <f>'TABLE-8A'!J9</f>
        <v>7970</v>
      </c>
      <c r="E9" s="190">
        <f>'TABLE-8A'!K9</f>
        <v>64.56578094620869</v>
      </c>
      <c r="F9" s="190">
        <v>5988</v>
      </c>
      <c r="G9" s="57">
        <v>6539</v>
      </c>
      <c r="H9" s="190">
        <f t="shared" si="0"/>
        <v>109.20173680694722</v>
      </c>
      <c r="I9" s="190">
        <v>9512</v>
      </c>
      <c r="J9" s="57">
        <v>7963</v>
      </c>
      <c r="K9" s="190">
        <f t="shared" si="1"/>
        <v>83.71530698065601</v>
      </c>
      <c r="L9" s="190">
        <f t="shared" si="2"/>
        <v>27844</v>
      </c>
      <c r="M9" s="190">
        <f t="shared" si="3"/>
        <v>22472</v>
      </c>
      <c r="N9" s="190">
        <f t="shared" si="4"/>
        <v>80.70679500071829</v>
      </c>
    </row>
    <row r="10" spans="1:14" ht="13.5" customHeight="1">
      <c r="A10" s="54">
        <v>4</v>
      </c>
      <c r="B10" s="57" t="s">
        <v>10</v>
      </c>
      <c r="C10" s="190">
        <f>'TABLE-8A'!I10</f>
        <v>111793</v>
      </c>
      <c r="D10" s="190">
        <f>'TABLE-8A'!J10</f>
        <v>122183</v>
      </c>
      <c r="E10" s="190">
        <f>'TABLE-8A'!K10</f>
        <v>109.29396294937966</v>
      </c>
      <c r="F10" s="190">
        <v>15576</v>
      </c>
      <c r="G10" s="57">
        <v>10894</v>
      </c>
      <c r="H10" s="190">
        <f t="shared" si="0"/>
        <v>69.94093477144325</v>
      </c>
      <c r="I10" s="190">
        <v>17983</v>
      </c>
      <c r="J10" s="57">
        <v>10788</v>
      </c>
      <c r="K10" s="190">
        <f t="shared" si="1"/>
        <v>59.98999054662737</v>
      </c>
      <c r="L10" s="190">
        <f t="shared" si="2"/>
        <v>145352</v>
      </c>
      <c r="M10" s="190">
        <f t="shared" si="3"/>
        <v>143865</v>
      </c>
      <c r="N10" s="190">
        <f t="shared" si="4"/>
        <v>98.97696626121416</v>
      </c>
    </row>
    <row r="11" spans="1:14" ht="13.5" customHeight="1">
      <c r="A11" s="54">
        <v>5</v>
      </c>
      <c r="B11" s="57" t="s">
        <v>11</v>
      </c>
      <c r="C11" s="190">
        <f>'TABLE-8A'!I11</f>
        <v>14490</v>
      </c>
      <c r="D11" s="190">
        <f>'TABLE-8A'!J11</f>
        <v>16711</v>
      </c>
      <c r="E11" s="190">
        <f>'TABLE-8A'!K11</f>
        <v>115.32781228433403</v>
      </c>
      <c r="F11" s="190">
        <v>4316</v>
      </c>
      <c r="G11" s="57">
        <v>2333</v>
      </c>
      <c r="H11" s="190">
        <f t="shared" si="0"/>
        <v>54.054680259499534</v>
      </c>
      <c r="I11" s="190">
        <v>6533</v>
      </c>
      <c r="J11" s="57">
        <v>9457</v>
      </c>
      <c r="K11" s="190">
        <f t="shared" si="1"/>
        <v>144.757385580897</v>
      </c>
      <c r="L11" s="190">
        <f t="shared" si="2"/>
        <v>25339</v>
      </c>
      <c r="M11" s="190">
        <f t="shared" si="3"/>
        <v>28501</v>
      </c>
      <c r="N11" s="190">
        <f t="shared" si="4"/>
        <v>112.47878763960694</v>
      </c>
    </row>
    <row r="12" spans="1:14" ht="13.5" customHeight="1">
      <c r="A12" s="54">
        <v>6</v>
      </c>
      <c r="B12" s="57" t="s">
        <v>12</v>
      </c>
      <c r="C12" s="190">
        <f>'TABLE-8A'!I12</f>
        <v>6748</v>
      </c>
      <c r="D12" s="190">
        <f>'TABLE-8A'!J12</f>
        <v>5189</v>
      </c>
      <c r="E12" s="190">
        <f>'TABLE-8A'!K12</f>
        <v>76.89685832839359</v>
      </c>
      <c r="F12" s="190">
        <v>2957</v>
      </c>
      <c r="G12" s="57">
        <v>1552</v>
      </c>
      <c r="H12" s="190">
        <f t="shared" si="0"/>
        <v>52.48562732499155</v>
      </c>
      <c r="I12" s="190">
        <v>4847</v>
      </c>
      <c r="J12" s="57">
        <v>2194</v>
      </c>
      <c r="K12" s="190">
        <f t="shared" si="1"/>
        <v>45.26511244068496</v>
      </c>
      <c r="L12" s="190">
        <f t="shared" si="2"/>
        <v>14552</v>
      </c>
      <c r="M12" s="190">
        <f t="shared" si="3"/>
        <v>8935</v>
      </c>
      <c r="N12" s="190">
        <f t="shared" si="4"/>
        <v>61.40049477735019</v>
      </c>
    </row>
    <row r="13" spans="1:14" ht="13.5" customHeight="1">
      <c r="A13" s="54">
        <v>7</v>
      </c>
      <c r="B13" s="57" t="s">
        <v>13</v>
      </c>
      <c r="C13" s="190">
        <f>'TABLE-8A'!I13</f>
        <v>72512</v>
      </c>
      <c r="D13" s="190">
        <f>'TABLE-8A'!J13</f>
        <v>47393</v>
      </c>
      <c r="E13" s="190">
        <f>'TABLE-8A'!K13</f>
        <v>65.35883715798764</v>
      </c>
      <c r="F13" s="190">
        <v>17826</v>
      </c>
      <c r="G13" s="57">
        <v>8895</v>
      </c>
      <c r="H13" s="190">
        <f t="shared" si="0"/>
        <v>49.89902389767755</v>
      </c>
      <c r="I13" s="190">
        <v>17807</v>
      </c>
      <c r="J13" s="57">
        <v>14566</v>
      </c>
      <c r="K13" s="190">
        <f t="shared" si="1"/>
        <v>81.79929241309597</v>
      </c>
      <c r="L13" s="190">
        <f t="shared" si="2"/>
        <v>108145</v>
      </c>
      <c r="M13" s="190">
        <f t="shared" si="3"/>
        <v>70854</v>
      </c>
      <c r="N13" s="190">
        <f t="shared" si="4"/>
        <v>65.51759212168848</v>
      </c>
    </row>
    <row r="14" spans="1:14" ht="13.5" customHeight="1">
      <c r="A14" s="54">
        <v>8</v>
      </c>
      <c r="B14" s="57" t="s">
        <v>162</v>
      </c>
      <c r="C14" s="190">
        <f>'TABLE-8A'!I14</f>
        <v>443</v>
      </c>
      <c r="D14" s="190">
        <f>'TABLE-8A'!J14</f>
        <v>693</v>
      </c>
      <c r="E14" s="190">
        <f>'TABLE-8A'!K14</f>
        <v>156.4334085778781</v>
      </c>
      <c r="F14" s="190">
        <v>523</v>
      </c>
      <c r="G14" s="57">
        <v>950</v>
      </c>
      <c r="H14" s="190">
        <f t="shared" si="0"/>
        <v>181.64435946462714</v>
      </c>
      <c r="I14" s="190">
        <v>1897</v>
      </c>
      <c r="J14" s="57">
        <v>295</v>
      </c>
      <c r="K14" s="190">
        <f t="shared" si="1"/>
        <v>15.55086979441223</v>
      </c>
      <c r="L14" s="190">
        <f t="shared" si="2"/>
        <v>2863</v>
      </c>
      <c r="M14" s="190">
        <f t="shared" si="3"/>
        <v>1938</v>
      </c>
      <c r="N14" s="190">
        <f t="shared" si="4"/>
        <v>67.69123297240657</v>
      </c>
    </row>
    <row r="15" spans="1:14" ht="13.5" customHeight="1">
      <c r="A15" s="54">
        <v>9</v>
      </c>
      <c r="B15" s="57" t="s">
        <v>14</v>
      </c>
      <c r="C15" s="190">
        <f>'TABLE-8A'!I15</f>
        <v>3883</v>
      </c>
      <c r="D15" s="190">
        <f>'TABLE-8A'!J15</f>
        <v>11038</v>
      </c>
      <c r="E15" s="190">
        <f>'TABLE-8A'!K15</f>
        <v>284.2647437548287</v>
      </c>
      <c r="F15" s="190">
        <v>2010</v>
      </c>
      <c r="G15" s="57">
        <v>2318</v>
      </c>
      <c r="H15" s="190">
        <f t="shared" si="0"/>
        <v>115.32338308457712</v>
      </c>
      <c r="I15" s="190">
        <v>3199</v>
      </c>
      <c r="J15" s="57">
        <v>2145</v>
      </c>
      <c r="K15" s="190">
        <f t="shared" si="1"/>
        <v>67.05220381369178</v>
      </c>
      <c r="L15" s="190">
        <f t="shared" si="2"/>
        <v>9092</v>
      </c>
      <c r="M15" s="190">
        <f t="shared" si="3"/>
        <v>15501</v>
      </c>
      <c r="N15" s="190">
        <f t="shared" si="4"/>
        <v>170.49054113506378</v>
      </c>
    </row>
    <row r="16" spans="1:14" ht="13.5" customHeight="1">
      <c r="A16" s="54">
        <v>10</v>
      </c>
      <c r="B16" s="57" t="s">
        <v>15</v>
      </c>
      <c r="C16" s="190">
        <f>'TABLE-8A'!I16</f>
        <v>844</v>
      </c>
      <c r="D16" s="190">
        <f>'TABLE-8A'!J16</f>
        <v>328</v>
      </c>
      <c r="E16" s="190">
        <f>'TABLE-8A'!K16</f>
        <v>38.86255924170616</v>
      </c>
      <c r="F16" s="190">
        <v>617</v>
      </c>
      <c r="G16" s="57">
        <v>260</v>
      </c>
      <c r="H16" s="190">
        <f t="shared" si="0"/>
        <v>42.13938411669368</v>
      </c>
      <c r="I16" s="190">
        <v>1473</v>
      </c>
      <c r="J16" s="57">
        <v>406</v>
      </c>
      <c r="K16" s="190">
        <f t="shared" si="1"/>
        <v>27.562797012898844</v>
      </c>
      <c r="L16" s="190">
        <f t="shared" si="2"/>
        <v>2934</v>
      </c>
      <c r="M16" s="190">
        <f t="shared" si="3"/>
        <v>994</v>
      </c>
      <c r="N16" s="190">
        <f t="shared" si="4"/>
        <v>33.87866394001363</v>
      </c>
    </row>
    <row r="17" spans="1:14" ht="13.5" customHeight="1">
      <c r="A17" s="54">
        <v>11</v>
      </c>
      <c r="B17" s="57" t="s">
        <v>16</v>
      </c>
      <c r="C17" s="190">
        <f>'TABLE-8A'!I17</f>
        <v>206</v>
      </c>
      <c r="D17" s="190">
        <f>'TABLE-8A'!J17</f>
        <v>171</v>
      </c>
      <c r="E17" s="190">
        <f>'TABLE-8A'!K17</f>
        <v>83.00970873786407</v>
      </c>
      <c r="F17" s="190">
        <v>1106</v>
      </c>
      <c r="G17" s="57">
        <v>1873</v>
      </c>
      <c r="H17" s="190">
        <f t="shared" si="0"/>
        <v>169.34900542495478</v>
      </c>
      <c r="I17" s="190">
        <v>1725</v>
      </c>
      <c r="J17" s="57">
        <v>276</v>
      </c>
      <c r="K17" s="190">
        <f t="shared" si="1"/>
        <v>16</v>
      </c>
      <c r="L17" s="190">
        <f t="shared" si="2"/>
        <v>3037</v>
      </c>
      <c r="M17" s="190">
        <f t="shared" si="3"/>
        <v>2320</v>
      </c>
      <c r="N17" s="190">
        <f t="shared" si="4"/>
        <v>76.39117550214027</v>
      </c>
    </row>
    <row r="18" spans="1:14" ht="13.5" customHeight="1">
      <c r="A18" s="54">
        <v>12</v>
      </c>
      <c r="B18" s="57" t="s">
        <v>17</v>
      </c>
      <c r="C18" s="190">
        <f>'TABLE-8A'!I18</f>
        <v>5864</v>
      </c>
      <c r="D18" s="190">
        <f>'TABLE-8A'!J18</f>
        <v>2486</v>
      </c>
      <c r="E18" s="190">
        <f>'TABLE-8A'!K18</f>
        <v>42.394270122783084</v>
      </c>
      <c r="F18" s="190">
        <v>3237</v>
      </c>
      <c r="G18" s="57">
        <v>380</v>
      </c>
      <c r="H18" s="190">
        <f t="shared" si="0"/>
        <v>11.739264751312945</v>
      </c>
      <c r="I18" s="190">
        <v>6403</v>
      </c>
      <c r="J18" s="57">
        <v>3652</v>
      </c>
      <c r="K18" s="190">
        <f t="shared" si="1"/>
        <v>57.03576448539747</v>
      </c>
      <c r="L18" s="190">
        <f t="shared" si="2"/>
        <v>15504</v>
      </c>
      <c r="M18" s="190">
        <f t="shared" si="3"/>
        <v>6518</v>
      </c>
      <c r="N18" s="190">
        <f t="shared" si="4"/>
        <v>42.04076367389061</v>
      </c>
    </row>
    <row r="19" spans="1:14" ht="15.75" customHeight="1">
      <c r="A19" s="54">
        <v>13</v>
      </c>
      <c r="B19" s="57" t="s">
        <v>164</v>
      </c>
      <c r="C19" s="190">
        <f>'TABLE-8A'!I19</f>
        <v>2952</v>
      </c>
      <c r="D19" s="190">
        <f>'TABLE-8A'!J19</f>
        <v>1612</v>
      </c>
      <c r="E19" s="190">
        <f>'TABLE-8A'!K19</f>
        <v>54.607046070460704</v>
      </c>
      <c r="F19" s="190">
        <v>2048</v>
      </c>
      <c r="G19" s="57">
        <v>2976</v>
      </c>
      <c r="H19" s="190">
        <f t="shared" si="0"/>
        <v>145.3125</v>
      </c>
      <c r="I19" s="190">
        <v>2187</v>
      </c>
      <c r="J19" s="57">
        <v>815</v>
      </c>
      <c r="K19" s="190">
        <f t="shared" si="1"/>
        <v>37.265660722450846</v>
      </c>
      <c r="L19" s="190">
        <f t="shared" si="2"/>
        <v>7187</v>
      </c>
      <c r="M19" s="190">
        <f t="shared" si="3"/>
        <v>5403</v>
      </c>
      <c r="N19" s="190">
        <f t="shared" si="4"/>
        <v>75.17740364547099</v>
      </c>
    </row>
    <row r="20" spans="1:14" ht="13.5" customHeight="1">
      <c r="A20" s="54">
        <v>14</v>
      </c>
      <c r="B20" s="57" t="s">
        <v>77</v>
      </c>
      <c r="C20" s="190">
        <f>'TABLE-8A'!I20</f>
        <v>32623</v>
      </c>
      <c r="D20" s="190">
        <f>'TABLE-8A'!J20</f>
        <v>80646</v>
      </c>
      <c r="E20" s="190">
        <f>'TABLE-8A'!K20</f>
        <v>247.2059589859915</v>
      </c>
      <c r="F20" s="190">
        <v>18060</v>
      </c>
      <c r="G20" s="57">
        <v>5411</v>
      </c>
      <c r="H20" s="190">
        <f t="shared" si="0"/>
        <v>29.96124031007752</v>
      </c>
      <c r="I20" s="190">
        <v>22972</v>
      </c>
      <c r="J20" s="57">
        <v>6468</v>
      </c>
      <c r="K20" s="190">
        <f t="shared" si="1"/>
        <v>28.156016019502</v>
      </c>
      <c r="L20" s="190">
        <f t="shared" si="2"/>
        <v>73655</v>
      </c>
      <c r="M20" s="190">
        <f t="shared" si="3"/>
        <v>92525</v>
      </c>
      <c r="N20" s="190">
        <f t="shared" si="4"/>
        <v>125.61944199307582</v>
      </c>
    </row>
    <row r="21" spans="1:14" ht="13.5" customHeight="1">
      <c r="A21" s="54">
        <v>15</v>
      </c>
      <c r="B21" s="57" t="s">
        <v>105</v>
      </c>
      <c r="C21" s="190">
        <f>'TABLE-8A'!I21</f>
        <v>4122</v>
      </c>
      <c r="D21" s="190">
        <f>'TABLE-8A'!J21</f>
        <v>1145</v>
      </c>
      <c r="E21" s="190">
        <f>'TABLE-8A'!K21</f>
        <v>27.77777777777778</v>
      </c>
      <c r="F21" s="190">
        <v>2039</v>
      </c>
      <c r="G21" s="57">
        <v>468</v>
      </c>
      <c r="H21" s="190">
        <f t="shared" si="0"/>
        <v>22.95242766061795</v>
      </c>
      <c r="I21" s="190">
        <v>3014</v>
      </c>
      <c r="J21" s="57">
        <v>2482</v>
      </c>
      <c r="K21" s="190">
        <f t="shared" si="1"/>
        <v>82.34903782349038</v>
      </c>
      <c r="L21" s="190">
        <f t="shared" si="2"/>
        <v>9175</v>
      </c>
      <c r="M21" s="190">
        <f t="shared" si="3"/>
        <v>4095</v>
      </c>
      <c r="N21" s="190">
        <f t="shared" si="4"/>
        <v>44.63215258855586</v>
      </c>
    </row>
    <row r="22" spans="1:14" ht="13.5" customHeight="1">
      <c r="A22" s="54">
        <v>16</v>
      </c>
      <c r="B22" s="57" t="s">
        <v>20</v>
      </c>
      <c r="C22" s="190">
        <f>'TABLE-8A'!I22</f>
        <v>15777</v>
      </c>
      <c r="D22" s="190">
        <f>'TABLE-8A'!J22</f>
        <v>22052</v>
      </c>
      <c r="E22" s="190">
        <f>'TABLE-8A'!K22</f>
        <v>139.77308740571718</v>
      </c>
      <c r="F22" s="190">
        <v>4307</v>
      </c>
      <c r="G22" s="57">
        <v>476</v>
      </c>
      <c r="H22" s="190">
        <f t="shared" si="0"/>
        <v>11.051776178314372</v>
      </c>
      <c r="I22" s="190">
        <v>8174</v>
      </c>
      <c r="J22" s="57">
        <v>9154</v>
      </c>
      <c r="K22" s="190">
        <f t="shared" si="1"/>
        <v>111.98923415708343</v>
      </c>
      <c r="L22" s="190">
        <f t="shared" si="2"/>
        <v>28258</v>
      </c>
      <c r="M22" s="190">
        <f t="shared" si="3"/>
        <v>31682</v>
      </c>
      <c r="N22" s="190">
        <f t="shared" si="4"/>
        <v>112.1169226413759</v>
      </c>
    </row>
    <row r="23" spans="1:14" ht="13.5" customHeight="1">
      <c r="A23" s="54">
        <v>17</v>
      </c>
      <c r="B23" s="57" t="s">
        <v>21</v>
      </c>
      <c r="C23" s="190">
        <f>'TABLE-8A'!I23</f>
        <v>29529</v>
      </c>
      <c r="D23" s="190">
        <f>'TABLE-8A'!J23</f>
        <v>12784</v>
      </c>
      <c r="E23" s="190">
        <f>'TABLE-8A'!K23</f>
        <v>43.293033966609094</v>
      </c>
      <c r="F23" s="190">
        <v>9051</v>
      </c>
      <c r="G23" s="57">
        <v>7903</v>
      </c>
      <c r="H23" s="190">
        <f t="shared" si="0"/>
        <v>87.31631863882444</v>
      </c>
      <c r="I23" s="190">
        <v>11983</v>
      </c>
      <c r="J23" s="57">
        <v>4594</v>
      </c>
      <c r="K23" s="190">
        <f t="shared" si="1"/>
        <v>38.337644997079195</v>
      </c>
      <c r="L23" s="190">
        <f t="shared" si="2"/>
        <v>50563</v>
      </c>
      <c r="M23" s="190">
        <f t="shared" si="3"/>
        <v>25281</v>
      </c>
      <c r="N23" s="190">
        <f t="shared" si="4"/>
        <v>49.99901113462413</v>
      </c>
    </row>
    <row r="24" spans="1:14" ht="13.5" customHeight="1">
      <c r="A24" s="54">
        <v>18</v>
      </c>
      <c r="B24" s="57" t="s">
        <v>19</v>
      </c>
      <c r="C24" s="190">
        <f>'TABLE-8A'!I24</f>
        <v>241</v>
      </c>
      <c r="D24" s="190">
        <f>'TABLE-8A'!J24</f>
        <v>34</v>
      </c>
      <c r="E24" s="190">
        <f>'TABLE-8A'!K24</f>
        <v>14.107883817427386</v>
      </c>
      <c r="F24" s="190">
        <v>282</v>
      </c>
      <c r="G24" s="57">
        <v>233</v>
      </c>
      <c r="H24" s="190">
        <f t="shared" si="0"/>
        <v>82.62411347517731</v>
      </c>
      <c r="I24" s="190">
        <v>868</v>
      </c>
      <c r="J24" s="57">
        <v>276</v>
      </c>
      <c r="K24" s="190">
        <f t="shared" si="1"/>
        <v>31.797235023041473</v>
      </c>
      <c r="L24" s="190">
        <f t="shared" si="2"/>
        <v>1391</v>
      </c>
      <c r="M24" s="190">
        <f t="shared" si="3"/>
        <v>543</v>
      </c>
      <c r="N24" s="190">
        <f t="shared" si="4"/>
        <v>39.03666427030913</v>
      </c>
    </row>
    <row r="25" spans="1:14" ht="13.5" customHeight="1">
      <c r="A25" s="54">
        <v>19</v>
      </c>
      <c r="B25" s="57" t="s">
        <v>124</v>
      </c>
      <c r="C25" s="190">
        <f>'TABLE-8A'!I25</f>
        <v>282</v>
      </c>
      <c r="D25" s="190">
        <f>'TABLE-8A'!J25</f>
        <v>482</v>
      </c>
      <c r="E25" s="190">
        <f>'TABLE-8A'!K25</f>
        <v>170.92198581560282</v>
      </c>
      <c r="F25" s="190">
        <v>465</v>
      </c>
      <c r="G25" s="57">
        <v>622</v>
      </c>
      <c r="H25" s="190">
        <f t="shared" si="0"/>
        <v>133.76344086021504</v>
      </c>
      <c r="I25" s="190">
        <v>796</v>
      </c>
      <c r="J25" s="57">
        <v>1637</v>
      </c>
      <c r="K25" s="190">
        <f t="shared" si="1"/>
        <v>205.6532663316583</v>
      </c>
      <c r="L25" s="190">
        <f t="shared" si="2"/>
        <v>1543</v>
      </c>
      <c r="M25" s="190">
        <f t="shared" si="3"/>
        <v>2741</v>
      </c>
      <c r="N25" s="190">
        <f t="shared" si="4"/>
        <v>177.6409591704472</v>
      </c>
    </row>
    <row r="26" spans="1:14" ht="13.5" customHeight="1">
      <c r="A26" s="54"/>
      <c r="B26" s="58" t="s">
        <v>224</v>
      </c>
      <c r="C26" s="249">
        <f>SUM(C7:C25)</f>
        <v>336303</v>
      </c>
      <c r="D26" s="249">
        <f>SUM(D7:D25)</f>
        <v>348337</v>
      </c>
      <c r="E26" s="249">
        <f>(D26*100)/C26</f>
        <v>103.57832074052268</v>
      </c>
      <c r="F26" s="249">
        <f>SUM(F7:F25)</f>
        <v>99031</v>
      </c>
      <c r="G26" s="58">
        <f>SUM(G7:G25)</f>
        <v>58445</v>
      </c>
      <c r="H26" s="249">
        <f t="shared" si="0"/>
        <v>59.016873504256246</v>
      </c>
      <c r="I26" s="249">
        <f>SUM(I7:I25)</f>
        <v>133371</v>
      </c>
      <c r="J26" s="58">
        <f>SUM(J7:J25)</f>
        <v>82053</v>
      </c>
      <c r="K26" s="249">
        <f t="shared" si="1"/>
        <v>61.522369930494634</v>
      </c>
      <c r="L26" s="249">
        <f>SUM(L7:L25)</f>
        <v>568705</v>
      </c>
      <c r="M26" s="249">
        <f>SUM(M7:M25)</f>
        <v>488835</v>
      </c>
      <c r="N26" s="249">
        <f t="shared" si="4"/>
        <v>85.95581188841315</v>
      </c>
    </row>
    <row r="27" spans="1:14" ht="13.5" customHeight="1">
      <c r="A27" s="54">
        <v>20</v>
      </c>
      <c r="B27" s="57" t="s">
        <v>23</v>
      </c>
      <c r="C27" s="190">
        <f>'TABLE-8A'!I27</f>
        <v>0</v>
      </c>
      <c r="D27" s="190">
        <f>'TABLE-8A'!J27</f>
        <v>0</v>
      </c>
      <c r="E27" s="190">
        <f>'TABLE-8A'!K27</f>
        <v>0</v>
      </c>
      <c r="F27" s="190">
        <v>593</v>
      </c>
      <c r="G27" s="57">
        <v>0</v>
      </c>
      <c r="H27" s="190">
        <f t="shared" si="0"/>
        <v>0</v>
      </c>
      <c r="I27" s="190">
        <v>390</v>
      </c>
      <c r="J27" s="57">
        <v>163</v>
      </c>
      <c r="K27" s="190">
        <f t="shared" si="1"/>
        <v>41.794871794871796</v>
      </c>
      <c r="L27" s="190">
        <f t="shared" si="2"/>
        <v>983</v>
      </c>
      <c r="M27" s="190">
        <f aca="true" t="shared" si="5" ref="M27:M33">D27+G27+J27</f>
        <v>163</v>
      </c>
      <c r="N27" s="190">
        <f t="shared" si="4"/>
        <v>16.581892166836216</v>
      </c>
    </row>
    <row r="28" spans="1:14" ht="13.5" customHeight="1">
      <c r="A28" s="54">
        <v>21</v>
      </c>
      <c r="B28" s="57" t="s">
        <v>269</v>
      </c>
      <c r="C28" s="190">
        <f>'TABLE-8A'!I28</f>
        <v>0</v>
      </c>
      <c r="D28" s="190">
        <f>'TABLE-8A'!J28</f>
        <v>0</v>
      </c>
      <c r="E28" s="190">
        <f>'TABLE-8A'!K28</f>
        <v>0</v>
      </c>
      <c r="F28" s="190">
        <v>175</v>
      </c>
      <c r="G28" s="57">
        <v>5</v>
      </c>
      <c r="H28" s="190">
        <f t="shared" si="0"/>
        <v>2.857142857142857</v>
      </c>
      <c r="I28" s="190">
        <v>366</v>
      </c>
      <c r="J28" s="57">
        <v>31</v>
      </c>
      <c r="K28" s="190">
        <f t="shared" si="1"/>
        <v>8.469945355191257</v>
      </c>
      <c r="L28" s="190">
        <f t="shared" si="2"/>
        <v>541</v>
      </c>
      <c r="M28" s="190">
        <f t="shared" si="5"/>
        <v>36</v>
      </c>
      <c r="N28" s="190">
        <f t="shared" si="4"/>
        <v>6.654343807763401</v>
      </c>
    </row>
    <row r="29" spans="1:14" ht="13.5" customHeight="1">
      <c r="A29" s="54">
        <v>22</v>
      </c>
      <c r="B29" s="57" t="s">
        <v>169</v>
      </c>
      <c r="C29" s="190">
        <f>'TABLE-8A'!I29</f>
        <v>0</v>
      </c>
      <c r="D29" s="190">
        <f>'TABLE-8A'!J29</f>
        <v>0</v>
      </c>
      <c r="E29" s="190">
        <f>'TABLE-8A'!K29</f>
        <v>0</v>
      </c>
      <c r="F29" s="190">
        <v>571</v>
      </c>
      <c r="G29" s="57">
        <v>651</v>
      </c>
      <c r="H29" s="190">
        <f t="shared" si="0"/>
        <v>114.01050788091068</v>
      </c>
      <c r="I29" s="190">
        <v>1198</v>
      </c>
      <c r="J29" s="57">
        <v>912</v>
      </c>
      <c r="K29" s="190">
        <f t="shared" si="1"/>
        <v>76.12687813021702</v>
      </c>
      <c r="L29" s="190">
        <f t="shared" si="2"/>
        <v>1769</v>
      </c>
      <c r="M29" s="190">
        <f t="shared" si="5"/>
        <v>1563</v>
      </c>
      <c r="N29" s="190">
        <f t="shared" si="4"/>
        <v>88.35500282645563</v>
      </c>
    </row>
    <row r="30" spans="1:14" ht="13.5" customHeight="1">
      <c r="A30" s="54">
        <v>23</v>
      </c>
      <c r="B30" s="57" t="s">
        <v>22</v>
      </c>
      <c r="C30" s="190">
        <f>'TABLE-8A'!I30</f>
        <v>0</v>
      </c>
      <c r="D30" s="190">
        <f>'TABLE-8A'!J30</f>
        <v>0</v>
      </c>
      <c r="E30" s="190">
        <f>'TABLE-8A'!K30</f>
        <v>0</v>
      </c>
      <c r="F30" s="190">
        <v>211</v>
      </c>
      <c r="G30" s="57">
        <v>981</v>
      </c>
      <c r="H30" s="190">
        <f t="shared" si="0"/>
        <v>464.92890995260666</v>
      </c>
      <c r="I30" s="190">
        <v>409</v>
      </c>
      <c r="J30" s="57">
        <v>566</v>
      </c>
      <c r="K30" s="190">
        <f t="shared" si="1"/>
        <v>138.38630806845967</v>
      </c>
      <c r="L30" s="190">
        <f t="shared" si="2"/>
        <v>620</v>
      </c>
      <c r="M30" s="190">
        <f t="shared" si="5"/>
        <v>1547</v>
      </c>
      <c r="N30" s="190">
        <f t="shared" si="4"/>
        <v>249.51612903225808</v>
      </c>
    </row>
    <row r="31" spans="1:14" ht="13.5" customHeight="1">
      <c r="A31" s="54">
        <v>24</v>
      </c>
      <c r="B31" s="57" t="s">
        <v>141</v>
      </c>
      <c r="C31" s="190">
        <f>'TABLE-8A'!I31</f>
        <v>152</v>
      </c>
      <c r="D31" s="190">
        <f>'TABLE-8A'!J31</f>
        <v>0</v>
      </c>
      <c r="E31" s="190">
        <f>'TABLE-8A'!K31</f>
        <v>0</v>
      </c>
      <c r="F31" s="190">
        <v>760</v>
      </c>
      <c r="G31" s="57">
        <v>642</v>
      </c>
      <c r="H31" s="190">
        <f t="shared" si="0"/>
        <v>84.47368421052632</v>
      </c>
      <c r="I31" s="190">
        <v>539</v>
      </c>
      <c r="J31" s="57">
        <v>789</v>
      </c>
      <c r="K31" s="190">
        <f t="shared" si="1"/>
        <v>146.3821892393321</v>
      </c>
      <c r="L31" s="190">
        <f t="shared" si="2"/>
        <v>1451</v>
      </c>
      <c r="M31" s="190">
        <f t="shared" si="5"/>
        <v>1431</v>
      </c>
      <c r="N31" s="190">
        <f t="shared" si="4"/>
        <v>98.62164024810475</v>
      </c>
    </row>
    <row r="32" spans="1:14" ht="13.5" customHeight="1">
      <c r="A32" s="54">
        <v>25</v>
      </c>
      <c r="B32" s="57" t="s">
        <v>18</v>
      </c>
      <c r="C32" s="190">
        <f>'TABLE-8A'!I32</f>
        <v>160914</v>
      </c>
      <c r="D32" s="190">
        <f>'TABLE-8A'!J32</f>
        <v>187372</v>
      </c>
      <c r="E32" s="190">
        <f>'TABLE-8A'!K32</f>
        <v>116.44232322855687</v>
      </c>
      <c r="F32" s="190">
        <v>45358</v>
      </c>
      <c r="G32" s="57">
        <v>19961</v>
      </c>
      <c r="H32" s="190">
        <f t="shared" si="0"/>
        <v>44.00767229595661</v>
      </c>
      <c r="I32" s="190">
        <v>63958</v>
      </c>
      <c r="J32" s="57">
        <v>63682</v>
      </c>
      <c r="K32" s="190">
        <f t="shared" si="1"/>
        <v>99.56846680634166</v>
      </c>
      <c r="L32" s="190">
        <f t="shared" si="2"/>
        <v>270230</v>
      </c>
      <c r="M32" s="190">
        <f t="shared" si="5"/>
        <v>271015</v>
      </c>
      <c r="N32" s="190">
        <f t="shared" si="4"/>
        <v>100.29049328349925</v>
      </c>
    </row>
    <row r="33" spans="1:14" ht="13.5" customHeight="1">
      <c r="A33" s="54">
        <v>26</v>
      </c>
      <c r="B33" s="57" t="s">
        <v>104</v>
      </c>
      <c r="C33" s="190">
        <f>'TABLE-8A'!I33</f>
        <v>108637</v>
      </c>
      <c r="D33" s="190">
        <f>'TABLE-8A'!J33</f>
        <v>63515</v>
      </c>
      <c r="E33" s="190">
        <f>'TABLE-8A'!K33</f>
        <v>58.465347901727775</v>
      </c>
      <c r="F33" s="190">
        <v>28561</v>
      </c>
      <c r="G33" s="57">
        <v>13034</v>
      </c>
      <c r="H33" s="190">
        <f t="shared" si="0"/>
        <v>45.635657014810405</v>
      </c>
      <c r="I33" s="190">
        <v>28861</v>
      </c>
      <c r="J33" s="57">
        <v>12507</v>
      </c>
      <c r="K33" s="190">
        <f t="shared" si="1"/>
        <v>43.335296767263785</v>
      </c>
      <c r="L33" s="190">
        <f t="shared" si="2"/>
        <v>166059</v>
      </c>
      <c r="M33" s="190">
        <f t="shared" si="5"/>
        <v>89056</v>
      </c>
      <c r="N33" s="190">
        <f t="shared" si="4"/>
        <v>53.629131814596015</v>
      </c>
    </row>
    <row r="34" spans="1:14" ht="13.5" customHeight="1">
      <c r="A34" s="54"/>
      <c r="B34" s="58" t="s">
        <v>226</v>
      </c>
      <c r="C34" s="249">
        <f>SUM(C27:C33)</f>
        <v>269703</v>
      </c>
      <c r="D34" s="249">
        <f>SUM(D27:D33)</f>
        <v>250887</v>
      </c>
      <c r="E34" s="249">
        <f>(D34*100)/C34</f>
        <v>93.02343689169197</v>
      </c>
      <c r="F34" s="249">
        <f>SUM(F27:F33)</f>
        <v>76229</v>
      </c>
      <c r="G34" s="58">
        <f>SUM(G27:G33)</f>
        <v>35274</v>
      </c>
      <c r="H34" s="249">
        <f t="shared" si="0"/>
        <v>46.27372784635769</v>
      </c>
      <c r="I34" s="249">
        <f>SUM(I27:I33)</f>
        <v>95721</v>
      </c>
      <c r="J34" s="58">
        <f>SUM(J27:J33)</f>
        <v>78650</v>
      </c>
      <c r="K34" s="249">
        <f t="shared" si="1"/>
        <v>82.16587791602679</v>
      </c>
      <c r="L34" s="249">
        <f>SUM(L27:L33)</f>
        <v>441653</v>
      </c>
      <c r="M34" s="249">
        <f>SUM(M27:M33)</f>
        <v>364811</v>
      </c>
      <c r="N34" s="249">
        <f t="shared" si="4"/>
        <v>82.60127294504962</v>
      </c>
    </row>
    <row r="35" spans="1:16" ht="13.5" customHeight="1">
      <c r="A35" s="54">
        <v>27</v>
      </c>
      <c r="B35" s="57" t="s">
        <v>163</v>
      </c>
      <c r="C35" s="190">
        <f>'TABLE-8A'!I35</f>
        <v>477</v>
      </c>
      <c r="D35" s="190">
        <f>'TABLE-8A'!J35</f>
        <v>361</v>
      </c>
      <c r="E35" s="190">
        <f>'TABLE-8A'!K35</f>
        <v>75.68134171907757</v>
      </c>
      <c r="F35" s="190">
        <v>945</v>
      </c>
      <c r="G35" s="57">
        <v>120</v>
      </c>
      <c r="H35" s="190">
        <f t="shared" si="0"/>
        <v>12.698412698412698</v>
      </c>
      <c r="I35" s="190">
        <v>1164</v>
      </c>
      <c r="J35" s="57">
        <v>711</v>
      </c>
      <c r="K35" s="190">
        <f t="shared" si="1"/>
        <v>61.08247422680412</v>
      </c>
      <c r="L35" s="190">
        <f t="shared" si="2"/>
        <v>2586</v>
      </c>
      <c r="M35" s="190">
        <f aca="true" t="shared" si="6" ref="M35:M47">D35+G35+J35</f>
        <v>1192</v>
      </c>
      <c r="N35" s="190">
        <f t="shared" si="4"/>
        <v>46.09435421500387</v>
      </c>
      <c r="P35" s="103" t="s">
        <v>36</v>
      </c>
    </row>
    <row r="36" spans="1:14" ht="13.5" customHeight="1">
      <c r="A36" s="54">
        <v>28</v>
      </c>
      <c r="B36" s="57" t="s">
        <v>231</v>
      </c>
      <c r="C36" s="190">
        <f>'TABLE-8A'!I36</f>
        <v>11826</v>
      </c>
      <c r="D36" s="190">
        <f>'TABLE-8A'!J36</f>
        <v>18172</v>
      </c>
      <c r="E36" s="190">
        <f>'TABLE-8A'!K36</f>
        <v>153.66142398105868</v>
      </c>
      <c r="F36" s="190">
        <v>5138</v>
      </c>
      <c r="G36" s="57">
        <v>17112</v>
      </c>
      <c r="H36" s="190">
        <f t="shared" si="0"/>
        <v>333.04787855196577</v>
      </c>
      <c r="I36" s="190">
        <v>8109</v>
      </c>
      <c r="J36" s="57">
        <v>992</v>
      </c>
      <c r="K36" s="190">
        <f t="shared" si="1"/>
        <v>12.233321001356517</v>
      </c>
      <c r="L36" s="190">
        <f t="shared" si="2"/>
        <v>25073</v>
      </c>
      <c r="M36" s="190">
        <f t="shared" si="6"/>
        <v>36276</v>
      </c>
      <c r="N36" s="190">
        <f t="shared" si="4"/>
        <v>144.68152993259682</v>
      </c>
    </row>
    <row r="37" spans="1:14" ht="13.5" customHeight="1">
      <c r="A37" s="54">
        <v>29</v>
      </c>
      <c r="B37" s="57" t="s">
        <v>218</v>
      </c>
      <c r="C37" s="190">
        <f>'TABLE-8A'!I37</f>
        <v>10336</v>
      </c>
      <c r="D37" s="190">
        <f>'TABLE-8A'!J37</f>
        <v>20089</v>
      </c>
      <c r="E37" s="190">
        <f>'TABLE-8A'!K37</f>
        <v>194.35952012383902</v>
      </c>
      <c r="F37" s="190">
        <v>8390</v>
      </c>
      <c r="G37" s="57">
        <v>1144</v>
      </c>
      <c r="H37" s="190">
        <f t="shared" si="0"/>
        <v>13.63528009535161</v>
      </c>
      <c r="I37" s="190">
        <v>10217</v>
      </c>
      <c r="J37" s="57">
        <v>2304</v>
      </c>
      <c r="K37" s="190">
        <f t="shared" si="1"/>
        <v>22.550650875990996</v>
      </c>
      <c r="L37" s="190">
        <f t="shared" si="2"/>
        <v>28943</v>
      </c>
      <c r="M37" s="190">
        <f t="shared" si="6"/>
        <v>23537</v>
      </c>
      <c r="N37" s="190">
        <f t="shared" si="4"/>
        <v>81.321908578931</v>
      </c>
    </row>
    <row r="38" spans="1:14" ht="13.5" customHeight="1">
      <c r="A38" s="54">
        <v>30</v>
      </c>
      <c r="B38" s="57" t="s">
        <v>284</v>
      </c>
      <c r="C38" s="190">
        <f>'TABLE-8A'!I38</f>
        <v>1395</v>
      </c>
      <c r="D38" s="190">
        <f>'TABLE-8A'!J38</f>
        <v>113</v>
      </c>
      <c r="E38" s="190">
        <f>'TABLE-8A'!K38</f>
        <v>8.100358422939069</v>
      </c>
      <c r="F38" s="190">
        <v>1791</v>
      </c>
      <c r="G38" s="57">
        <v>127</v>
      </c>
      <c r="H38" s="190">
        <f t="shared" si="0"/>
        <v>7.091010608598548</v>
      </c>
      <c r="I38" s="190">
        <v>1283</v>
      </c>
      <c r="J38" s="57">
        <v>963</v>
      </c>
      <c r="K38" s="190">
        <f t="shared" si="1"/>
        <v>75.05845674201092</v>
      </c>
      <c r="L38" s="190">
        <f t="shared" si="2"/>
        <v>4469</v>
      </c>
      <c r="M38" s="190">
        <f t="shared" si="6"/>
        <v>1203</v>
      </c>
      <c r="N38" s="190">
        <f t="shared" si="4"/>
        <v>26.91877377489371</v>
      </c>
    </row>
    <row r="39" spans="1:14" ht="13.5" customHeight="1">
      <c r="A39" s="54">
        <v>31</v>
      </c>
      <c r="B39" s="57" t="s">
        <v>219</v>
      </c>
      <c r="C39" s="190">
        <f>'TABLE-8A'!I39</f>
        <v>418</v>
      </c>
      <c r="D39" s="190">
        <f>'TABLE-8A'!J39</f>
        <v>1117</v>
      </c>
      <c r="E39" s="190">
        <f>'TABLE-8A'!K39</f>
        <v>267.2248803827751</v>
      </c>
      <c r="F39" s="190">
        <v>666</v>
      </c>
      <c r="G39" s="57">
        <v>0</v>
      </c>
      <c r="H39" s="190">
        <f t="shared" si="0"/>
        <v>0</v>
      </c>
      <c r="I39" s="190">
        <v>859</v>
      </c>
      <c r="J39" s="57">
        <v>0</v>
      </c>
      <c r="K39" s="190">
        <f t="shared" si="1"/>
        <v>0</v>
      </c>
      <c r="L39" s="190">
        <f t="shared" si="2"/>
        <v>1943</v>
      </c>
      <c r="M39" s="190">
        <f>D39+G39+J39</f>
        <v>1117</v>
      </c>
      <c r="N39" s="190">
        <f t="shared" si="4"/>
        <v>57.48841996911992</v>
      </c>
    </row>
    <row r="40" spans="1:14" ht="13.5" customHeight="1">
      <c r="A40" s="54">
        <v>32</v>
      </c>
      <c r="B40" s="57" t="s">
        <v>220</v>
      </c>
      <c r="C40" s="190">
        <f>'TABLE-8A'!I40</f>
        <v>400</v>
      </c>
      <c r="D40" s="190">
        <f>'TABLE-8A'!J40</f>
        <v>110</v>
      </c>
      <c r="E40" s="190">
        <f>'TABLE-8A'!K40</f>
        <v>27.5</v>
      </c>
      <c r="F40" s="190">
        <v>396</v>
      </c>
      <c r="G40" s="57">
        <v>330</v>
      </c>
      <c r="H40" s="190">
        <f t="shared" si="0"/>
        <v>83.33333333333333</v>
      </c>
      <c r="I40" s="190">
        <v>361</v>
      </c>
      <c r="J40" s="57">
        <v>570</v>
      </c>
      <c r="K40" s="190">
        <f t="shared" si="1"/>
        <v>157.89473684210526</v>
      </c>
      <c r="L40" s="190">
        <f t="shared" si="2"/>
        <v>1157</v>
      </c>
      <c r="M40" s="190">
        <f t="shared" si="6"/>
        <v>1010</v>
      </c>
      <c r="N40" s="190">
        <f t="shared" si="4"/>
        <v>87.29472774416594</v>
      </c>
    </row>
    <row r="41" spans="1:14" ht="13.5" customHeight="1">
      <c r="A41" s="110">
        <v>33</v>
      </c>
      <c r="B41" s="111" t="s">
        <v>363</v>
      </c>
      <c r="C41" s="190">
        <f>'TABLE-8A'!I41</f>
        <v>0</v>
      </c>
      <c r="D41" s="190">
        <f>'TABLE-8A'!J41</f>
        <v>0</v>
      </c>
      <c r="E41" s="190">
        <f>'TABLE-8A'!K41</f>
        <v>0</v>
      </c>
      <c r="F41" s="190">
        <v>130</v>
      </c>
      <c r="G41" s="57">
        <v>122</v>
      </c>
      <c r="H41" s="190">
        <f t="shared" si="0"/>
        <v>93.84615384615384</v>
      </c>
      <c r="I41" s="190">
        <v>234</v>
      </c>
      <c r="J41" s="57">
        <v>842</v>
      </c>
      <c r="K41" s="190">
        <f>(J41*100)/I41</f>
        <v>359.8290598290598</v>
      </c>
      <c r="L41" s="190">
        <f>C41+F41+I41</f>
        <v>364</v>
      </c>
      <c r="M41" s="190">
        <f t="shared" si="6"/>
        <v>964</v>
      </c>
      <c r="N41" s="190">
        <f>(M41*100)/L41</f>
        <v>264.83516483516485</v>
      </c>
    </row>
    <row r="42" spans="1:14" ht="13.5" customHeight="1">
      <c r="A42" s="54">
        <v>34</v>
      </c>
      <c r="B42" s="57" t="s">
        <v>242</v>
      </c>
      <c r="C42" s="190">
        <f>'TABLE-8A'!I42</f>
        <v>0</v>
      </c>
      <c r="D42" s="190">
        <f>'TABLE-8A'!J42</f>
        <v>0</v>
      </c>
      <c r="E42" s="190">
        <f>'TABLE-8A'!K42</f>
        <v>0</v>
      </c>
      <c r="F42" s="190">
        <v>75</v>
      </c>
      <c r="G42" s="57">
        <v>0</v>
      </c>
      <c r="H42" s="190">
        <f t="shared" si="0"/>
        <v>0</v>
      </c>
      <c r="I42" s="190">
        <v>100</v>
      </c>
      <c r="J42" s="57">
        <v>0</v>
      </c>
      <c r="K42" s="190">
        <v>0</v>
      </c>
      <c r="L42" s="190">
        <f t="shared" si="2"/>
        <v>175</v>
      </c>
      <c r="M42" s="190">
        <f t="shared" si="6"/>
        <v>0</v>
      </c>
      <c r="N42" s="190">
        <f>(M42*100)/L42</f>
        <v>0</v>
      </c>
    </row>
    <row r="43" spans="1:14" ht="13.5" customHeight="1">
      <c r="A43" s="54">
        <v>35</v>
      </c>
      <c r="B43" s="57" t="s">
        <v>256</v>
      </c>
      <c r="C43" s="190">
        <f>'TABLE-8A'!I43</f>
        <v>267</v>
      </c>
      <c r="D43" s="190">
        <f>'TABLE-8A'!J43</f>
        <v>0</v>
      </c>
      <c r="E43" s="190">
        <f>'TABLE-8A'!K43</f>
        <v>0</v>
      </c>
      <c r="F43" s="190">
        <v>238</v>
      </c>
      <c r="G43" s="57">
        <v>112</v>
      </c>
      <c r="H43" s="190">
        <f t="shared" si="0"/>
        <v>47.05882352941177</v>
      </c>
      <c r="I43" s="190">
        <v>677</v>
      </c>
      <c r="J43" s="57">
        <v>252</v>
      </c>
      <c r="K43" s="190">
        <f t="shared" si="1"/>
        <v>37.22304283604136</v>
      </c>
      <c r="L43" s="190">
        <f t="shared" si="2"/>
        <v>1182</v>
      </c>
      <c r="M43" s="190">
        <f t="shared" si="6"/>
        <v>364</v>
      </c>
      <c r="N43" s="190">
        <f t="shared" si="4"/>
        <v>30.795262267343485</v>
      </c>
    </row>
    <row r="44" spans="1:14" ht="13.5" customHeight="1">
      <c r="A44" s="54">
        <v>36</v>
      </c>
      <c r="B44" s="57" t="s">
        <v>24</v>
      </c>
      <c r="C44" s="190">
        <f>'TABLE-8A'!I44</f>
        <v>37</v>
      </c>
      <c r="D44" s="190">
        <f>'TABLE-8A'!J44</f>
        <v>1</v>
      </c>
      <c r="E44" s="190">
        <f>'TABLE-8A'!K44</f>
        <v>2.7027027027027026</v>
      </c>
      <c r="F44" s="190">
        <v>396</v>
      </c>
      <c r="G44" s="57">
        <v>1240</v>
      </c>
      <c r="H44" s="190">
        <f t="shared" si="0"/>
        <v>313.1313131313131</v>
      </c>
      <c r="I44" s="190">
        <v>507</v>
      </c>
      <c r="J44" s="57">
        <v>580</v>
      </c>
      <c r="K44" s="190">
        <f t="shared" si="1"/>
        <v>114.39842209072978</v>
      </c>
      <c r="L44" s="190">
        <f t="shared" si="2"/>
        <v>940</v>
      </c>
      <c r="M44" s="190">
        <f t="shared" si="6"/>
        <v>1821</v>
      </c>
      <c r="N44" s="190">
        <f t="shared" si="4"/>
        <v>193.72340425531914</v>
      </c>
    </row>
    <row r="45" spans="1:14" ht="13.5" customHeight="1">
      <c r="A45" s="54">
        <v>37</v>
      </c>
      <c r="B45" s="57" t="s">
        <v>223</v>
      </c>
      <c r="C45" s="190">
        <f>'TABLE-8A'!I45</f>
        <v>0</v>
      </c>
      <c r="D45" s="190">
        <f>'TABLE-8A'!J45</f>
        <v>0</v>
      </c>
      <c r="E45" s="190">
        <f>'TABLE-8A'!K45</f>
        <v>0</v>
      </c>
      <c r="F45" s="190">
        <v>125</v>
      </c>
      <c r="G45" s="57">
        <v>10</v>
      </c>
      <c r="H45" s="190">
        <f t="shared" si="0"/>
        <v>8</v>
      </c>
      <c r="I45" s="190">
        <v>300</v>
      </c>
      <c r="J45" s="57">
        <v>0</v>
      </c>
      <c r="K45" s="190">
        <f t="shared" si="1"/>
        <v>0</v>
      </c>
      <c r="L45" s="190">
        <f t="shared" si="2"/>
        <v>425</v>
      </c>
      <c r="M45" s="190">
        <f t="shared" si="6"/>
        <v>10</v>
      </c>
      <c r="N45" s="190">
        <f t="shared" si="4"/>
        <v>2.3529411764705883</v>
      </c>
    </row>
    <row r="46" spans="1:14" ht="13.5" customHeight="1">
      <c r="A46" s="54">
        <v>38</v>
      </c>
      <c r="B46" s="57" t="s">
        <v>364</v>
      </c>
      <c r="C46" s="190">
        <f>'TABLE-8A'!I46</f>
        <v>0</v>
      </c>
      <c r="D46" s="190">
        <f>'TABLE-8A'!J46</f>
        <v>4</v>
      </c>
      <c r="E46" s="190">
        <f>'TABLE-8A'!K46</f>
        <v>0</v>
      </c>
      <c r="F46" s="190">
        <v>135</v>
      </c>
      <c r="G46" s="57">
        <v>8</v>
      </c>
      <c r="H46" s="190">
        <f t="shared" si="0"/>
        <v>5.925925925925926</v>
      </c>
      <c r="I46" s="190">
        <v>210</v>
      </c>
      <c r="J46" s="57">
        <v>40</v>
      </c>
      <c r="K46" s="190">
        <f t="shared" si="1"/>
        <v>19.047619047619047</v>
      </c>
      <c r="L46" s="190">
        <f t="shared" si="2"/>
        <v>345</v>
      </c>
      <c r="M46" s="190">
        <f t="shared" si="6"/>
        <v>52</v>
      </c>
      <c r="N46" s="190">
        <f t="shared" si="4"/>
        <v>15.072463768115941</v>
      </c>
    </row>
    <row r="47" spans="1:16" ht="13.5" customHeight="1">
      <c r="A47" s="54">
        <v>39</v>
      </c>
      <c r="B47" s="57" t="s">
        <v>366</v>
      </c>
      <c r="C47" s="190">
        <f>'TABLE-8A'!I47</f>
        <v>9788</v>
      </c>
      <c r="D47" s="190">
        <f>'TABLE-8A'!J47</f>
        <v>3033</v>
      </c>
      <c r="E47" s="190">
        <f>'TABLE-8A'!K47</f>
        <v>30.986922762566408</v>
      </c>
      <c r="F47" s="190">
        <v>4522</v>
      </c>
      <c r="G47" s="57">
        <v>1810</v>
      </c>
      <c r="H47" s="190">
        <f t="shared" si="0"/>
        <v>40.0265369305617</v>
      </c>
      <c r="I47" s="190">
        <v>5739</v>
      </c>
      <c r="J47" s="57">
        <v>3938</v>
      </c>
      <c r="K47" s="190">
        <f t="shared" si="1"/>
        <v>68.61822617180694</v>
      </c>
      <c r="L47" s="190">
        <f t="shared" si="2"/>
        <v>20049</v>
      </c>
      <c r="M47" s="190">
        <f t="shared" si="6"/>
        <v>8781</v>
      </c>
      <c r="N47" s="190">
        <f t="shared" si="4"/>
        <v>43.797695645668114</v>
      </c>
      <c r="P47" s="464"/>
    </row>
    <row r="48" spans="1:14" ht="12.75">
      <c r="A48" s="305"/>
      <c r="B48" s="566" t="s">
        <v>400</v>
      </c>
      <c r="C48" s="264">
        <f>'TABLE-8A'!I48</f>
        <v>900</v>
      </c>
      <c r="D48" s="264">
        <f>'TABLE-8A'!J48</f>
        <v>0</v>
      </c>
      <c r="E48" s="190">
        <f>'TABLE-8A'!K48</f>
        <v>0</v>
      </c>
      <c r="F48" s="264">
        <v>193</v>
      </c>
      <c r="G48" s="264">
        <f>'TABLE-8A'!M48</f>
        <v>0</v>
      </c>
      <c r="H48" s="264">
        <f>'TABLE-8A'!N48</f>
        <v>0</v>
      </c>
      <c r="I48" s="264">
        <v>300</v>
      </c>
      <c r="J48" s="264">
        <f>'TABLE-8A'!P48</f>
        <v>0</v>
      </c>
      <c r="K48" s="264">
        <f>'TABLE-8A'!Q48</f>
        <v>0</v>
      </c>
      <c r="L48" s="264">
        <f>C48+F48+I48</f>
        <v>1393</v>
      </c>
      <c r="M48" s="264">
        <f>'TABLE-8A'!S48</f>
        <v>0</v>
      </c>
      <c r="N48" s="264">
        <f>'TABLE-8A'!T48</f>
        <v>0</v>
      </c>
    </row>
    <row r="49" spans="1:16" ht="13.5" customHeight="1">
      <c r="A49" s="54"/>
      <c r="B49" s="58" t="s">
        <v>225</v>
      </c>
      <c r="C49" s="249">
        <f>SUM(C35:C48)</f>
        <v>35844</v>
      </c>
      <c r="D49" s="249">
        <f>SUM(D35:D48)</f>
        <v>43000</v>
      </c>
      <c r="E49" s="249">
        <f>(D49*100)/C49</f>
        <v>119.9642896998103</v>
      </c>
      <c r="F49" s="249">
        <f>SUM(F35:F48)</f>
        <v>23140</v>
      </c>
      <c r="G49" s="249">
        <f>SUM(G35:G48)</f>
        <v>22135</v>
      </c>
      <c r="H49" s="249">
        <f t="shared" si="0"/>
        <v>95.65687121866897</v>
      </c>
      <c r="I49" s="249">
        <f>SUM(I35:I48)</f>
        <v>30060</v>
      </c>
      <c r="J49" s="249">
        <f>SUM(J35:J48)</f>
        <v>11192</v>
      </c>
      <c r="K49" s="249">
        <f t="shared" si="1"/>
        <v>37.23220226214238</v>
      </c>
      <c r="L49" s="249">
        <f>SUM(L35:L48)</f>
        <v>89044</v>
      </c>
      <c r="M49" s="249">
        <f>SUM(M35:M47)</f>
        <v>76327</v>
      </c>
      <c r="N49" s="249">
        <f t="shared" si="4"/>
        <v>85.71829657248102</v>
      </c>
      <c r="P49" s="464"/>
    </row>
    <row r="50" spans="1:14" ht="15.75" customHeight="1">
      <c r="A50" s="54"/>
      <c r="B50" s="187" t="s">
        <v>123</v>
      </c>
      <c r="C50" s="249">
        <f>C26+C34+C49</f>
        <v>641850</v>
      </c>
      <c r="D50" s="249">
        <f>D26+D34+D49</f>
        <v>642224</v>
      </c>
      <c r="E50" s="249">
        <f>(D50/C50)*100</f>
        <v>100.05826906598114</v>
      </c>
      <c r="F50" s="249">
        <f>F26+F34+F49</f>
        <v>198400</v>
      </c>
      <c r="G50" s="58">
        <f>G26+G34+G49</f>
        <v>115854</v>
      </c>
      <c r="H50" s="249">
        <f t="shared" si="0"/>
        <v>58.39415322580645</v>
      </c>
      <c r="I50" s="249">
        <f>I26+I34+I49</f>
        <v>259152</v>
      </c>
      <c r="J50" s="58">
        <f>J26+J34+J49</f>
        <v>171895</v>
      </c>
      <c r="K50" s="249">
        <f t="shared" si="1"/>
        <v>66.32979872815953</v>
      </c>
      <c r="L50" s="249">
        <f>L26+L34+L49</f>
        <v>1099402</v>
      </c>
      <c r="M50" s="249">
        <f>M26+M34+M49</f>
        <v>929973</v>
      </c>
      <c r="N50" s="249">
        <f t="shared" si="4"/>
        <v>84.58898564856167</v>
      </c>
    </row>
    <row r="51" spans="2:14" ht="12.75">
      <c r="B51" s="105"/>
      <c r="C51" s="192"/>
      <c r="D51" s="192"/>
      <c r="E51" s="192"/>
      <c r="F51" s="192"/>
      <c r="G51" s="23"/>
      <c r="H51" s="192"/>
      <c r="I51" s="192"/>
      <c r="J51" s="23"/>
      <c r="K51" s="192"/>
      <c r="L51" s="192"/>
      <c r="M51" s="192"/>
      <c r="N51" s="192"/>
    </row>
    <row r="52" spans="1:14" ht="15">
      <c r="A52" s="105"/>
      <c r="B52" s="105"/>
      <c r="C52" s="259"/>
      <c r="D52" s="259"/>
      <c r="E52" s="259"/>
      <c r="F52" s="259"/>
      <c r="G52" s="21"/>
      <c r="H52" s="259"/>
      <c r="I52" s="99"/>
      <c r="N52" s="192"/>
    </row>
    <row r="53" spans="3:13" ht="15">
      <c r="C53" s="99"/>
      <c r="D53" s="259"/>
      <c r="E53" s="259"/>
      <c r="F53" s="259"/>
      <c r="G53" s="21"/>
      <c r="H53" s="99"/>
      <c r="I53" s="99"/>
      <c r="M53" s="192"/>
    </row>
    <row r="54" spans="1:14" ht="14.25">
      <c r="A54" s="460"/>
      <c r="B54" s="460"/>
      <c r="C54" s="613" t="s">
        <v>194</v>
      </c>
      <c r="D54" s="613"/>
      <c r="E54" s="613"/>
      <c r="F54" s="436" t="s">
        <v>369</v>
      </c>
      <c r="G54" s="461" t="s">
        <v>375</v>
      </c>
      <c r="H54" s="438"/>
      <c r="I54" s="436" t="s">
        <v>68</v>
      </c>
      <c r="J54" s="461"/>
      <c r="K54" s="439"/>
      <c r="L54" s="436" t="s">
        <v>69</v>
      </c>
      <c r="M54" s="437"/>
      <c r="N54" s="438"/>
    </row>
    <row r="55" spans="1:14" ht="12.75">
      <c r="A55" s="462" t="s">
        <v>4</v>
      </c>
      <c r="B55" s="462" t="s">
        <v>5</v>
      </c>
      <c r="C55" s="257" t="s">
        <v>70</v>
      </c>
      <c r="D55" s="257" t="s">
        <v>71</v>
      </c>
      <c r="E55" s="257" t="s">
        <v>72</v>
      </c>
      <c r="F55" s="257" t="s">
        <v>70</v>
      </c>
      <c r="G55" s="136" t="s">
        <v>71</v>
      </c>
      <c r="H55" s="257" t="s">
        <v>72</v>
      </c>
      <c r="I55" s="257" t="s">
        <v>70</v>
      </c>
      <c r="J55" s="136" t="s">
        <v>71</v>
      </c>
      <c r="K55" s="257" t="s">
        <v>72</v>
      </c>
      <c r="L55" s="257" t="s">
        <v>70</v>
      </c>
      <c r="M55" s="257" t="s">
        <v>71</v>
      </c>
      <c r="N55" s="257" t="s">
        <v>72</v>
      </c>
    </row>
    <row r="56" spans="1:14" ht="12.75">
      <c r="A56" s="462" t="s">
        <v>6</v>
      </c>
      <c r="B56" s="465"/>
      <c r="C56" s="441" t="s">
        <v>73</v>
      </c>
      <c r="D56" s="441" t="s">
        <v>74</v>
      </c>
      <c r="E56" s="441" t="s">
        <v>74</v>
      </c>
      <c r="F56" s="441" t="s">
        <v>73</v>
      </c>
      <c r="G56" s="138" t="s">
        <v>74</v>
      </c>
      <c r="H56" s="441" t="s">
        <v>74</v>
      </c>
      <c r="I56" s="441" t="s">
        <v>73</v>
      </c>
      <c r="J56" s="138" t="s">
        <v>74</v>
      </c>
      <c r="K56" s="441" t="s">
        <v>74</v>
      </c>
      <c r="L56" s="441" t="s">
        <v>73</v>
      </c>
      <c r="M56" s="441" t="s">
        <v>74</v>
      </c>
      <c r="N56" s="441" t="s">
        <v>74</v>
      </c>
    </row>
    <row r="57" spans="1:15" s="188" customFormat="1" ht="15" customHeight="1">
      <c r="A57" s="54">
        <v>40</v>
      </c>
      <c r="B57" s="57" t="s">
        <v>78</v>
      </c>
      <c r="C57" s="264">
        <f>'TABLE-8A'!I57</f>
        <v>13465</v>
      </c>
      <c r="D57" s="264">
        <f>'TABLE-8A'!J57</f>
        <v>8302</v>
      </c>
      <c r="E57" s="264">
        <f>'TABLE-8A'!K57</f>
        <v>61.65614556256963</v>
      </c>
      <c r="F57" s="264">
        <v>1162</v>
      </c>
      <c r="G57" s="145">
        <v>87</v>
      </c>
      <c r="H57" s="264">
        <f aca="true" t="shared" si="7" ref="H57:H64">(G57*100)/F57</f>
        <v>7.487091222030981</v>
      </c>
      <c r="I57" s="264">
        <v>1598</v>
      </c>
      <c r="J57" s="145">
        <v>2590</v>
      </c>
      <c r="K57" s="442">
        <f aca="true" t="shared" si="8" ref="K57:K65">(J57*100)/I57</f>
        <v>162.07759699624532</v>
      </c>
      <c r="L57" s="264">
        <f aca="true" t="shared" si="9" ref="L57:L64">C57+F57+I57</f>
        <v>16225</v>
      </c>
      <c r="M57" s="264">
        <f aca="true" t="shared" si="10" ref="M57:M64">D57+G57+J57</f>
        <v>10979</v>
      </c>
      <c r="N57" s="264">
        <f aca="true" t="shared" si="11" ref="N57:N64">(M57*100)/L57</f>
        <v>67.66718027734977</v>
      </c>
      <c r="O57" s="211"/>
    </row>
    <row r="58" spans="1:15" s="188" customFormat="1" ht="15" customHeight="1">
      <c r="A58" s="54">
        <v>41</v>
      </c>
      <c r="B58" s="57" t="s">
        <v>278</v>
      </c>
      <c r="C58" s="264">
        <f>'TABLE-8A'!I58</f>
        <v>44839</v>
      </c>
      <c r="D58" s="264">
        <f>'TABLE-8A'!J58</f>
        <v>29816</v>
      </c>
      <c r="E58" s="264">
        <f>'TABLE-8A'!K58</f>
        <v>66.4956845603158</v>
      </c>
      <c r="F58" s="264">
        <v>3679</v>
      </c>
      <c r="G58" s="145">
        <v>2907</v>
      </c>
      <c r="H58" s="264">
        <f t="shared" si="7"/>
        <v>79.016036966567</v>
      </c>
      <c r="I58" s="264">
        <v>2462</v>
      </c>
      <c r="J58" s="145">
        <v>7637</v>
      </c>
      <c r="K58" s="442">
        <f t="shared" si="8"/>
        <v>310.1949634443542</v>
      </c>
      <c r="L58" s="264">
        <f t="shared" si="9"/>
        <v>50980</v>
      </c>
      <c r="M58" s="264">
        <f t="shared" si="10"/>
        <v>40360</v>
      </c>
      <c r="N58" s="264">
        <f t="shared" si="11"/>
        <v>79.16830129462534</v>
      </c>
      <c r="O58" s="211"/>
    </row>
    <row r="59" spans="1:15" s="188" customFormat="1" ht="15" customHeight="1">
      <c r="A59" s="54">
        <v>42</v>
      </c>
      <c r="B59" s="57" t="s">
        <v>30</v>
      </c>
      <c r="C59" s="264">
        <f>'TABLE-8A'!I59</f>
        <v>3332</v>
      </c>
      <c r="D59" s="264">
        <f>'TABLE-8A'!J59</f>
        <v>1480</v>
      </c>
      <c r="E59" s="264">
        <f>'TABLE-8A'!K59</f>
        <v>44.41776710684274</v>
      </c>
      <c r="F59" s="264">
        <v>618</v>
      </c>
      <c r="G59" s="145">
        <v>1480</v>
      </c>
      <c r="H59" s="264">
        <f t="shared" si="7"/>
        <v>239.4822006472492</v>
      </c>
      <c r="I59" s="264">
        <v>318</v>
      </c>
      <c r="J59" s="145">
        <v>235</v>
      </c>
      <c r="K59" s="442">
        <f t="shared" si="8"/>
        <v>73.8993710691824</v>
      </c>
      <c r="L59" s="264">
        <f t="shared" si="9"/>
        <v>4268</v>
      </c>
      <c r="M59" s="264">
        <f t="shared" si="10"/>
        <v>3195</v>
      </c>
      <c r="N59" s="264">
        <f t="shared" si="11"/>
        <v>74.85941893158387</v>
      </c>
      <c r="O59" s="211"/>
    </row>
    <row r="60" spans="1:15" s="188" customFormat="1" ht="15" customHeight="1">
      <c r="A60" s="54">
        <v>43</v>
      </c>
      <c r="B60" s="57" t="s">
        <v>234</v>
      </c>
      <c r="C60" s="264">
        <f>'TABLE-8A'!I60</f>
        <v>55775</v>
      </c>
      <c r="D60" s="264">
        <f>'TABLE-8A'!J60</f>
        <v>60283</v>
      </c>
      <c r="E60" s="264">
        <f>'TABLE-8A'!K60</f>
        <v>108.08247422680412</v>
      </c>
      <c r="F60" s="264">
        <v>2459</v>
      </c>
      <c r="G60" s="145">
        <v>1403</v>
      </c>
      <c r="H60" s="264">
        <f t="shared" si="7"/>
        <v>57.055713704758034</v>
      </c>
      <c r="I60" s="264">
        <v>2360</v>
      </c>
      <c r="J60" s="145">
        <v>831</v>
      </c>
      <c r="K60" s="442">
        <f t="shared" si="8"/>
        <v>35.21186440677966</v>
      </c>
      <c r="L60" s="264">
        <f t="shared" si="9"/>
        <v>60594</v>
      </c>
      <c r="M60" s="264">
        <f t="shared" si="10"/>
        <v>62517</v>
      </c>
      <c r="N60" s="264">
        <f t="shared" si="11"/>
        <v>103.173581542727</v>
      </c>
      <c r="O60" s="211"/>
    </row>
    <row r="61" spans="1:15" s="188" customFormat="1" ht="15" customHeight="1">
      <c r="A61" s="54">
        <v>44</v>
      </c>
      <c r="B61" s="57" t="s">
        <v>29</v>
      </c>
      <c r="C61" s="264">
        <f>'TABLE-8A'!I61</f>
        <v>6145</v>
      </c>
      <c r="D61" s="264">
        <f>'TABLE-8A'!J61</f>
        <v>1208</v>
      </c>
      <c r="E61" s="264">
        <f>'TABLE-8A'!K61</f>
        <v>19.65825874694874</v>
      </c>
      <c r="F61" s="264">
        <v>761</v>
      </c>
      <c r="G61" s="145">
        <v>91</v>
      </c>
      <c r="H61" s="264">
        <f t="shared" si="7"/>
        <v>11.957950065703022</v>
      </c>
      <c r="I61" s="264">
        <v>1042</v>
      </c>
      <c r="J61" s="145">
        <v>949</v>
      </c>
      <c r="K61" s="442">
        <f t="shared" si="8"/>
        <v>91.07485604606526</v>
      </c>
      <c r="L61" s="264">
        <f t="shared" si="9"/>
        <v>7948</v>
      </c>
      <c r="M61" s="264">
        <f t="shared" si="10"/>
        <v>2248</v>
      </c>
      <c r="N61" s="264">
        <f t="shared" si="11"/>
        <v>28.28384499245093</v>
      </c>
      <c r="O61" s="211"/>
    </row>
    <row r="62" spans="1:15" s="188" customFormat="1" ht="15" customHeight="1">
      <c r="A62" s="54">
        <v>45</v>
      </c>
      <c r="B62" s="57" t="s">
        <v>391</v>
      </c>
      <c r="C62" s="264">
        <f>'TABLE-8A'!I62</f>
        <v>64188</v>
      </c>
      <c r="D62" s="264">
        <f>'TABLE-8A'!J62</f>
        <v>43287</v>
      </c>
      <c r="E62" s="264">
        <f>'TABLE-8A'!K62</f>
        <v>67.43783884838288</v>
      </c>
      <c r="F62" s="264">
        <v>5145</v>
      </c>
      <c r="G62" s="145">
        <v>997</v>
      </c>
      <c r="H62" s="264">
        <f t="shared" si="7"/>
        <v>19.378036929057338</v>
      </c>
      <c r="I62" s="264">
        <v>5267</v>
      </c>
      <c r="J62" s="145">
        <v>3012</v>
      </c>
      <c r="K62" s="442">
        <f t="shared" si="8"/>
        <v>57.18625403455478</v>
      </c>
      <c r="L62" s="264">
        <f t="shared" si="9"/>
        <v>74600</v>
      </c>
      <c r="M62" s="264">
        <f t="shared" si="10"/>
        <v>47296</v>
      </c>
      <c r="N62" s="264">
        <f t="shared" si="11"/>
        <v>63.39946380697051</v>
      </c>
      <c r="O62" s="211"/>
    </row>
    <row r="63" spans="1:15" s="188" customFormat="1" ht="15" customHeight="1">
      <c r="A63" s="54">
        <v>46</v>
      </c>
      <c r="B63" s="57" t="s">
        <v>25</v>
      </c>
      <c r="C63" s="264">
        <f>'TABLE-8A'!I63</f>
        <v>5311</v>
      </c>
      <c r="D63" s="264">
        <f>'TABLE-8A'!J63</f>
        <v>3588</v>
      </c>
      <c r="E63" s="264">
        <f>'TABLE-8A'!K63</f>
        <v>67.55789870080964</v>
      </c>
      <c r="F63" s="264">
        <v>280</v>
      </c>
      <c r="G63" s="145">
        <v>140</v>
      </c>
      <c r="H63" s="264">
        <f t="shared" si="7"/>
        <v>50</v>
      </c>
      <c r="I63" s="264">
        <v>595</v>
      </c>
      <c r="J63" s="145">
        <v>465</v>
      </c>
      <c r="K63" s="442">
        <f t="shared" si="8"/>
        <v>78.15126050420169</v>
      </c>
      <c r="L63" s="264">
        <f t="shared" si="9"/>
        <v>6186</v>
      </c>
      <c r="M63" s="264">
        <f t="shared" si="10"/>
        <v>4193</v>
      </c>
      <c r="N63" s="264">
        <f t="shared" si="11"/>
        <v>67.78208858713224</v>
      </c>
      <c r="O63" s="211"/>
    </row>
    <row r="64" spans="1:15" s="188" customFormat="1" ht="15" customHeight="1">
      <c r="A64" s="54">
        <v>47</v>
      </c>
      <c r="B64" s="57" t="s">
        <v>28</v>
      </c>
      <c r="C64" s="264">
        <f>'TABLE-8A'!I64</f>
        <v>4970</v>
      </c>
      <c r="D64" s="264">
        <f>'TABLE-8A'!J64</f>
        <v>6080</v>
      </c>
      <c r="E64" s="264">
        <f>'TABLE-8A'!K64</f>
        <v>122.33400402414487</v>
      </c>
      <c r="F64" s="264">
        <v>253</v>
      </c>
      <c r="G64" s="145">
        <v>253</v>
      </c>
      <c r="H64" s="264">
        <f t="shared" si="7"/>
        <v>100</v>
      </c>
      <c r="I64" s="264">
        <v>1236</v>
      </c>
      <c r="J64" s="145">
        <v>3948</v>
      </c>
      <c r="K64" s="442">
        <f t="shared" si="8"/>
        <v>319.41747572815535</v>
      </c>
      <c r="L64" s="264">
        <f t="shared" si="9"/>
        <v>6459</v>
      </c>
      <c r="M64" s="264">
        <f t="shared" si="10"/>
        <v>10281</v>
      </c>
      <c r="N64" s="264">
        <f t="shared" si="11"/>
        <v>159.17324663260567</v>
      </c>
      <c r="O64" s="211"/>
    </row>
    <row r="65" spans="1:15" s="188" customFormat="1" ht="15" customHeight="1">
      <c r="A65" s="54"/>
      <c r="B65" s="466" t="s">
        <v>123</v>
      </c>
      <c r="C65" s="413">
        <f>SUM(C57:C64)</f>
        <v>198025</v>
      </c>
      <c r="D65" s="413">
        <f>SUM(D57:D64)</f>
        <v>154044</v>
      </c>
      <c r="E65" s="413">
        <f>(D65/C65)*100</f>
        <v>77.7901780078273</v>
      </c>
      <c r="F65" s="413">
        <f>SUM(F57:F64)</f>
        <v>14357</v>
      </c>
      <c r="G65" s="144">
        <f>SUM(G57:G64)</f>
        <v>7358</v>
      </c>
      <c r="H65" s="413">
        <f>(G65/F65)*100</f>
        <v>51.25026119662882</v>
      </c>
      <c r="I65" s="413">
        <f>SUM(I57:I64)</f>
        <v>14878</v>
      </c>
      <c r="J65" s="144">
        <f>SUM(J57:J64)</f>
        <v>19667</v>
      </c>
      <c r="K65" s="412">
        <f t="shared" si="8"/>
        <v>132.18846619169244</v>
      </c>
      <c r="L65" s="413">
        <f>+C65+F65+I65</f>
        <v>227260</v>
      </c>
      <c r="M65" s="413">
        <f>+D65+G65+J65</f>
        <v>181069</v>
      </c>
      <c r="N65" s="413">
        <f>(M65/L65)*100</f>
        <v>79.67482179002025</v>
      </c>
      <c r="O65" s="211"/>
    </row>
    <row r="66" spans="1:15" s="188" customFormat="1" ht="15" customHeight="1">
      <c r="A66" s="54"/>
      <c r="B66" s="145"/>
      <c r="C66" s="264"/>
      <c r="D66" s="264"/>
      <c r="E66" s="264"/>
      <c r="F66" s="264"/>
      <c r="G66" s="145"/>
      <c r="H66" s="264"/>
      <c r="I66" s="264"/>
      <c r="J66" s="145"/>
      <c r="K66" s="264"/>
      <c r="L66" s="264"/>
      <c r="M66" s="264"/>
      <c r="N66" s="264"/>
      <c r="O66" s="211"/>
    </row>
    <row r="67" spans="1:15" s="188" customFormat="1" ht="15" customHeight="1">
      <c r="A67" s="54">
        <v>48</v>
      </c>
      <c r="B67" s="145" t="s">
        <v>34</v>
      </c>
      <c r="C67" s="264">
        <f>'TABLE-8A'!I67</f>
        <v>433403</v>
      </c>
      <c r="D67" s="264">
        <f>'TABLE-8A'!J67</f>
        <v>350737</v>
      </c>
      <c r="E67" s="264">
        <f>'TABLE-8A'!K67</f>
        <v>80.92629723375242</v>
      </c>
      <c r="F67" s="264">
        <v>8953</v>
      </c>
      <c r="G67" s="145">
        <v>0</v>
      </c>
      <c r="H67" s="264">
        <f>(G67*100)/F67</f>
        <v>0</v>
      </c>
      <c r="I67" s="264">
        <v>12341</v>
      </c>
      <c r="J67" s="145">
        <v>17444</v>
      </c>
      <c r="K67" s="264">
        <f>(J67*100)/I67</f>
        <v>141.34997163925127</v>
      </c>
      <c r="L67" s="264">
        <f>C67+F67+I67</f>
        <v>454697</v>
      </c>
      <c r="M67" s="264">
        <f>D67+G67+J67</f>
        <v>368181</v>
      </c>
      <c r="N67" s="264">
        <f>(M67*100)/L67</f>
        <v>80.97282366059156</v>
      </c>
      <c r="O67" s="211"/>
    </row>
    <row r="68" spans="1:15" s="188" customFormat="1" ht="15" customHeight="1">
      <c r="A68" s="54">
        <v>49</v>
      </c>
      <c r="B68" s="145" t="s">
        <v>130</v>
      </c>
      <c r="C68" s="264">
        <f>'TABLE-8A'!I68</f>
        <v>24455</v>
      </c>
      <c r="D68" s="264">
        <f>'TABLE-8A'!J68</f>
        <v>2687</v>
      </c>
      <c r="E68" s="264">
        <f>'TABLE-8A'!K68</f>
        <v>10.987528112860355</v>
      </c>
      <c r="F68" s="264">
        <v>2998</v>
      </c>
      <c r="G68" s="145">
        <v>0</v>
      </c>
      <c r="H68" s="264">
        <f>(G68*100)/F68</f>
        <v>0</v>
      </c>
      <c r="I68" s="264">
        <v>2766</v>
      </c>
      <c r="J68" s="145">
        <v>0</v>
      </c>
      <c r="K68" s="264">
        <f>(J68*100)/I68</f>
        <v>0</v>
      </c>
      <c r="L68" s="264">
        <f>C68+F68+I68</f>
        <v>30219</v>
      </c>
      <c r="M68" s="264">
        <f>D68+G68+J68</f>
        <v>2687</v>
      </c>
      <c r="N68" s="264">
        <f>(M68*100)/L68</f>
        <v>8.891756841722096</v>
      </c>
      <c r="O68" s="211"/>
    </row>
    <row r="69" spans="2:15" s="188" customFormat="1" ht="15" customHeight="1">
      <c r="B69" s="466" t="s">
        <v>123</v>
      </c>
      <c r="C69" s="413">
        <f>SUM(C67:C68)</f>
        <v>457858</v>
      </c>
      <c r="D69" s="413">
        <f>SUM(D67:D68)</f>
        <v>353424</v>
      </c>
      <c r="E69" s="413">
        <f>(D69/C69)*100</f>
        <v>77.19074472871502</v>
      </c>
      <c r="F69" s="413">
        <f>SUM(F67:F68)</f>
        <v>11951</v>
      </c>
      <c r="G69" s="144">
        <f>SUM(G67:G68)</f>
        <v>0</v>
      </c>
      <c r="H69" s="413">
        <f>(G69/F69)*100</f>
        <v>0</v>
      </c>
      <c r="I69" s="413">
        <f>SUM(I67:I68)</f>
        <v>15107</v>
      </c>
      <c r="J69" s="144">
        <f>SUM(J67:J68)</f>
        <v>17444</v>
      </c>
      <c r="K69" s="413">
        <f>(J69/I69)*100</f>
        <v>115.46964983120407</v>
      </c>
      <c r="L69" s="413">
        <f>+C69+F69+I69</f>
        <v>484916</v>
      </c>
      <c r="M69" s="413">
        <f>+D69+G69+J69</f>
        <v>370868</v>
      </c>
      <c r="N69" s="413">
        <f>(M69/L69)*100</f>
        <v>76.48087503815094</v>
      </c>
      <c r="O69" s="211"/>
    </row>
    <row r="70" spans="2:15" s="188" customFormat="1" ht="15" customHeight="1">
      <c r="B70" s="466" t="s">
        <v>35</v>
      </c>
      <c r="C70" s="413">
        <f>+C50+C65+C69</f>
        <v>1297733</v>
      </c>
      <c r="D70" s="413">
        <f>+D50+D65+D69</f>
        <v>1149692</v>
      </c>
      <c r="E70" s="413">
        <f>(D70/C70)*100</f>
        <v>88.59233756096208</v>
      </c>
      <c r="F70" s="413">
        <f>+F50+F65+F69</f>
        <v>224708</v>
      </c>
      <c r="G70" s="144">
        <f>+G50+G65+G69</f>
        <v>123212</v>
      </c>
      <c r="H70" s="413">
        <f>(G70/F70)*100</f>
        <v>54.832048703205935</v>
      </c>
      <c r="I70" s="413">
        <f>+I50+I65+I69</f>
        <v>289137</v>
      </c>
      <c r="J70" s="144">
        <f>+J50+J65+J69</f>
        <v>209006</v>
      </c>
      <c r="K70" s="413">
        <f>(J70/I70)*100</f>
        <v>72.2861480889682</v>
      </c>
      <c r="L70" s="413">
        <f>L50+L65+L69</f>
        <v>1811578</v>
      </c>
      <c r="M70" s="413">
        <f>+M50+M65+M69</f>
        <v>1481910</v>
      </c>
      <c r="N70" s="413">
        <f>(M70/L70)*100</f>
        <v>81.80216363855159</v>
      </c>
      <c r="O70" s="211"/>
    </row>
    <row r="71" spans="2:9" ht="12.75">
      <c r="B71" s="22"/>
      <c r="C71" s="22" t="s">
        <v>36</v>
      </c>
      <c r="F71" s="22" t="s">
        <v>36</v>
      </c>
      <c r="I71" s="22" t="s">
        <v>36</v>
      </c>
    </row>
    <row r="72" spans="2:9" ht="12.75">
      <c r="B72" s="22"/>
      <c r="E72" s="24" t="s">
        <v>414</v>
      </c>
      <c r="F72" s="22" t="s">
        <v>36</v>
      </c>
      <c r="I72" s="22" t="s">
        <v>36</v>
      </c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</sheetData>
  <sheetProtection/>
  <mergeCells count="2">
    <mergeCell ref="C4:E4"/>
    <mergeCell ref="C54:E54"/>
  </mergeCells>
  <printOptions gridLines="1" horizontalCentered="1"/>
  <pageMargins left="0.75" right="0.75" top="0.27" bottom="0.54" header="0.43" footer="0.38"/>
  <pageSetup blackAndWhite="1" horizontalDpi="300" verticalDpi="300" orientation="landscape" paperSize="9" scale="7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 (CREATIVE COMPURTERS BHOPAL)</dc:creator>
  <cp:keywords/>
  <dc:description/>
  <cp:lastModifiedBy>slbc</cp:lastModifiedBy>
  <cp:lastPrinted>2010-02-26T13:35:05Z</cp:lastPrinted>
  <dcterms:created xsi:type="dcterms:W3CDTF">2000-09-03T20:56:37Z</dcterms:created>
  <dcterms:modified xsi:type="dcterms:W3CDTF">2002-01-01T01:54:43Z</dcterms:modified>
  <cp:category/>
  <cp:version/>
  <cp:contentType/>
  <cp:contentStatus/>
</cp:coreProperties>
</file>